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owa1.sharepoint.com/sites/Compliance2/Shared Documents/Compliance Forms and Letters/Annual Compliance Forms/2020 -Draft/Web Documents/"/>
    </mc:Choice>
  </mc:AlternateContent>
  <xr:revisionPtr revIDLastSave="0" documentId="8_{F809298E-9E99-4109-BE82-54EC09A4B4C8}" xr6:coauthVersionLast="45" xr6:coauthVersionMax="45" xr10:uidLastSave="{00000000-0000-0000-0000-000000000000}"/>
  <bookViews>
    <workbookView xWindow="-110" yWindow="-110" windowWidth="22780" windowHeight="14660"/>
  </bookViews>
  <sheets>
    <sheet name="Active (1)" sheetId="1" r:id="rId1"/>
  </sheets>
  <definedNames>
    <definedName name="_xlnm._FilterDatabase" localSheetId="0" hidden="1">'Active (1)'!$A$1:$K$606</definedName>
  </definedNames>
  <calcPr calcId="0"/>
</workbook>
</file>

<file path=xl/calcChain.xml><?xml version="1.0" encoding="utf-8"?>
<calcChain xmlns="http://schemas.openxmlformats.org/spreadsheetml/2006/main">
  <c r="A439" i="1" l="1"/>
  <c r="K439" i="1"/>
  <c r="A319" i="1"/>
  <c r="K319" i="1"/>
  <c r="A225" i="1"/>
  <c r="K225" i="1"/>
  <c r="A44" i="1"/>
  <c r="K44" i="1"/>
  <c r="A479" i="1"/>
  <c r="K479" i="1"/>
  <c r="A601" i="1"/>
  <c r="K601" i="1"/>
  <c r="A490" i="1"/>
  <c r="K490" i="1"/>
  <c r="A436" i="1"/>
  <c r="K436" i="1"/>
  <c r="A282" i="1"/>
  <c r="K282" i="1"/>
  <c r="A342" i="1"/>
  <c r="K342" i="1"/>
  <c r="A150" i="1"/>
  <c r="K150" i="1"/>
  <c r="A423" i="1"/>
  <c r="K423" i="1"/>
  <c r="A488" i="1"/>
  <c r="K488" i="1"/>
  <c r="A594" i="1"/>
  <c r="K594" i="1"/>
  <c r="A451" i="1"/>
  <c r="K451" i="1"/>
  <c r="A500" i="1"/>
  <c r="K500" i="1"/>
  <c r="A185" i="1"/>
  <c r="K185" i="1"/>
  <c r="A90" i="1"/>
  <c r="K90" i="1"/>
  <c r="K505" i="1"/>
  <c r="K460" i="1"/>
  <c r="A149" i="1"/>
  <c r="K149" i="1"/>
  <c r="A94" i="1"/>
  <c r="K94" i="1"/>
  <c r="A546" i="1"/>
  <c r="K546" i="1"/>
  <c r="A221" i="1"/>
  <c r="K221" i="1"/>
  <c r="A431" i="1"/>
  <c r="K431" i="1"/>
  <c r="A289" i="1"/>
  <c r="K289" i="1"/>
  <c r="A294" i="1"/>
  <c r="K294" i="1"/>
  <c r="A403" i="1"/>
  <c r="K403" i="1"/>
  <c r="A404" i="1"/>
  <c r="K404" i="1"/>
  <c r="A49" i="1"/>
  <c r="K49" i="1"/>
  <c r="A382" i="1"/>
  <c r="K382" i="1"/>
  <c r="A433" i="1"/>
  <c r="K433" i="1"/>
  <c r="A300" i="1"/>
  <c r="K300" i="1"/>
  <c r="K461" i="1"/>
  <c r="K207" i="1"/>
  <c r="A550" i="1"/>
  <c r="K550" i="1"/>
  <c r="A383" i="1"/>
  <c r="K383" i="1"/>
  <c r="A595" i="1"/>
  <c r="K595" i="1"/>
  <c r="A152" i="1"/>
  <c r="K152" i="1"/>
  <c r="A475" i="1"/>
  <c r="K475" i="1"/>
  <c r="A429" i="1"/>
  <c r="K429" i="1"/>
  <c r="A176" i="1"/>
  <c r="K176" i="1"/>
  <c r="A364" i="1"/>
  <c r="K364" i="1"/>
  <c r="A532" i="1"/>
  <c r="K532" i="1"/>
  <c r="A430" i="1"/>
  <c r="K430" i="1"/>
  <c r="A34" i="1"/>
  <c r="K34" i="1"/>
  <c r="A602" i="1"/>
  <c r="K602" i="1"/>
  <c r="A491" i="1"/>
  <c r="K491" i="1"/>
  <c r="A392" i="1"/>
  <c r="K392" i="1"/>
  <c r="A486" i="1"/>
  <c r="K486" i="1"/>
  <c r="A588" i="1"/>
  <c r="K588" i="1"/>
  <c r="A448" i="1"/>
  <c r="K448" i="1"/>
  <c r="A226" i="1"/>
  <c r="K226" i="1"/>
  <c r="A301" i="1"/>
  <c r="K301" i="1"/>
  <c r="A98" i="1"/>
  <c r="K98" i="1"/>
  <c r="A597" i="1"/>
  <c r="K597" i="1"/>
  <c r="K506" i="1"/>
  <c r="K527" i="1"/>
  <c r="K82" i="1"/>
  <c r="A153" i="1"/>
  <c r="K153" i="1"/>
  <c r="A384" i="1"/>
  <c r="K384" i="1"/>
  <c r="A315" i="1"/>
  <c r="K315" i="1"/>
  <c r="A417" i="1"/>
  <c r="K417" i="1"/>
  <c r="A205" i="1"/>
  <c r="K205" i="1"/>
  <c r="A107" i="1"/>
  <c r="K107" i="1"/>
  <c r="A106" i="1"/>
  <c r="K106" i="1"/>
  <c r="A180" i="1"/>
  <c r="K180" i="1"/>
  <c r="A513" i="1"/>
  <c r="K513" i="1"/>
  <c r="A579" i="1"/>
  <c r="K579" i="1"/>
  <c r="A291" i="1"/>
  <c r="K291" i="1"/>
  <c r="A411" i="1"/>
  <c r="K411" i="1"/>
  <c r="A371" i="1"/>
  <c r="K371" i="1"/>
  <c r="A253" i="1"/>
  <c r="K253" i="1"/>
  <c r="A521" i="1"/>
  <c r="K521" i="1"/>
  <c r="A146" i="1"/>
  <c r="K146" i="1"/>
  <c r="A447" i="1"/>
  <c r="K447" i="1"/>
  <c r="A100" i="1"/>
  <c r="K100" i="1"/>
  <c r="A99" i="1"/>
  <c r="K99" i="1"/>
  <c r="K428" i="1"/>
  <c r="A541" i="1"/>
  <c r="K541" i="1"/>
  <c r="A551" i="1"/>
  <c r="K551" i="1"/>
  <c r="A317" i="1"/>
  <c r="K317" i="1"/>
  <c r="A316" i="1"/>
  <c r="K316" i="1"/>
  <c r="A440" i="1"/>
  <c r="K440" i="1"/>
  <c r="A503" i="1"/>
  <c r="K503" i="1"/>
  <c r="A523" i="1"/>
  <c r="K523" i="1"/>
  <c r="A86" i="1"/>
  <c r="K86" i="1"/>
  <c r="A240" i="1"/>
  <c r="K240" i="1"/>
  <c r="A167" i="1"/>
  <c r="K167" i="1"/>
  <c r="A561" i="1"/>
  <c r="K561" i="1"/>
  <c r="A547" i="1"/>
  <c r="K547" i="1"/>
  <c r="A104" i="1"/>
  <c r="K104" i="1"/>
  <c r="A212" i="1"/>
  <c r="K212" i="1"/>
  <c r="A426" i="1"/>
  <c r="K426" i="1"/>
  <c r="A259" i="1"/>
  <c r="K259" i="1"/>
  <c r="A175" i="1"/>
  <c r="K175" i="1"/>
  <c r="A380" i="1"/>
  <c r="K380" i="1"/>
  <c r="A243" i="1"/>
  <c r="K243" i="1"/>
  <c r="A128" i="1"/>
  <c r="K128" i="1"/>
  <c r="A558" i="1"/>
  <c r="K558" i="1"/>
  <c r="A535" i="1"/>
  <c r="K535" i="1"/>
  <c r="A91" i="1"/>
  <c r="K91" i="1"/>
  <c r="K509" i="1"/>
  <c r="K147" i="1"/>
  <c r="A385" i="1"/>
  <c r="K385" i="1"/>
  <c r="A74" i="1"/>
  <c r="K74" i="1"/>
  <c r="A154" i="1"/>
  <c r="K154" i="1"/>
  <c r="A596" i="1"/>
  <c r="K596" i="1"/>
  <c r="A37" i="1"/>
  <c r="K37" i="1"/>
  <c r="A195" i="1"/>
  <c r="K195" i="1"/>
  <c r="A247" i="1"/>
  <c r="K247" i="1"/>
  <c r="A320" i="1"/>
  <c r="K320" i="1"/>
  <c r="A573" i="1"/>
  <c r="K573" i="1"/>
  <c r="A585" i="1"/>
  <c r="K585" i="1"/>
  <c r="A198" i="1"/>
  <c r="K198" i="1"/>
  <c r="A250" i="1"/>
  <c r="K250" i="1"/>
  <c r="A362" i="1"/>
  <c r="K362" i="1"/>
  <c r="A418" i="1"/>
  <c r="K418" i="1"/>
  <c r="A260" i="1"/>
  <c r="K260" i="1"/>
  <c r="A308" i="1"/>
  <c r="K308" i="1"/>
  <c r="A567" i="1"/>
  <c r="K567" i="1"/>
  <c r="A36" i="1"/>
  <c r="K36" i="1"/>
  <c r="A453" i="1"/>
  <c r="K453" i="1"/>
  <c r="A444" i="1"/>
  <c r="K444" i="1"/>
  <c r="A27" i="1"/>
  <c r="K27" i="1"/>
  <c r="A337" i="1"/>
  <c r="K337" i="1"/>
  <c r="K197" i="1"/>
  <c r="K3" i="1"/>
  <c r="K16" i="1"/>
  <c r="K22" i="1"/>
  <c r="K361" i="1"/>
  <c r="K13" i="1"/>
  <c r="K18" i="1"/>
  <c r="K19" i="1"/>
  <c r="A526" i="1"/>
  <c r="K526" i="1"/>
  <c r="A220" i="1"/>
  <c r="K220" i="1"/>
  <c r="A530" i="1"/>
  <c r="K530" i="1"/>
  <c r="A352" i="1"/>
  <c r="K352" i="1"/>
  <c r="A251" i="1"/>
  <c r="K251" i="1"/>
  <c r="A334" i="1"/>
  <c r="K334" i="1"/>
  <c r="A248" i="1"/>
  <c r="K248" i="1"/>
  <c r="A215" i="1"/>
  <c r="K215" i="1"/>
  <c r="A419" i="1"/>
  <c r="K419" i="1"/>
  <c r="A446" i="1"/>
  <c r="K446" i="1"/>
  <c r="A405" i="1"/>
  <c r="K405" i="1"/>
  <c r="A162" i="1"/>
  <c r="K162" i="1"/>
  <c r="A263" i="1"/>
  <c r="K263" i="1"/>
  <c r="A375" i="1"/>
  <c r="K375" i="1"/>
  <c r="A378" i="1"/>
  <c r="K378" i="1"/>
  <c r="A487" i="1"/>
  <c r="K487" i="1"/>
  <c r="A318" i="1"/>
  <c r="K318" i="1"/>
  <c r="A321" i="1"/>
  <c r="K321" i="1"/>
  <c r="A113" i="1"/>
  <c r="K113" i="1"/>
  <c r="A244" i="1"/>
  <c r="K244" i="1"/>
  <c r="A353" i="1"/>
  <c r="K353" i="1"/>
  <c r="A477" i="1"/>
  <c r="K477" i="1"/>
  <c r="A478" i="1"/>
  <c r="K478" i="1"/>
  <c r="A124" i="1"/>
  <c r="K124" i="1"/>
  <c r="K196" i="1"/>
  <c r="A133" i="1"/>
  <c r="K133" i="1"/>
  <c r="A155" i="1"/>
  <c r="K155" i="1"/>
  <c r="A75" i="1"/>
  <c r="K75" i="1"/>
  <c r="A534" i="1"/>
  <c r="K534" i="1"/>
  <c r="A45" i="1"/>
  <c r="K45" i="1"/>
  <c r="A84" i="1"/>
  <c r="K84" i="1"/>
  <c r="A437" i="1"/>
  <c r="K437" i="1"/>
  <c r="A525" i="1"/>
  <c r="K525" i="1"/>
  <c r="A252" i="1"/>
  <c r="K252" i="1"/>
  <c r="A485" i="1"/>
  <c r="K485" i="1"/>
  <c r="A462" i="1"/>
  <c r="K462" i="1"/>
  <c r="A114" i="1"/>
  <c r="K114" i="1"/>
  <c r="A223" i="1"/>
  <c r="K223" i="1"/>
  <c r="A183" i="1"/>
  <c r="K183" i="1"/>
  <c r="A138" i="1"/>
  <c r="K138" i="1"/>
  <c r="A374" i="1"/>
  <c r="K374" i="1"/>
  <c r="A480" i="1"/>
  <c r="K480" i="1"/>
  <c r="A232" i="1"/>
  <c r="K232" i="1"/>
  <c r="K21" i="1"/>
  <c r="K2" i="1"/>
  <c r="K5" i="1"/>
  <c r="K456" i="1"/>
  <c r="K111" i="1"/>
  <c r="K47" i="1"/>
  <c r="K256" i="1"/>
  <c r="K148" i="1"/>
  <c r="A96" i="1"/>
  <c r="K96" i="1"/>
  <c r="A591" i="1"/>
  <c r="K591" i="1"/>
  <c r="A156" i="1"/>
  <c r="K156" i="1"/>
  <c r="A76" i="1"/>
  <c r="K76" i="1"/>
  <c r="A204" i="1"/>
  <c r="K204" i="1"/>
  <c r="A290" i="1"/>
  <c r="K290" i="1"/>
  <c r="A219" i="1"/>
  <c r="K219" i="1"/>
  <c r="A139" i="1"/>
  <c r="K139" i="1"/>
  <c r="A584" i="1"/>
  <c r="K584" i="1"/>
  <c r="A236" i="1"/>
  <c r="K236" i="1"/>
  <c r="A237" i="1"/>
  <c r="K237" i="1"/>
  <c r="A97" i="1"/>
  <c r="K97" i="1"/>
  <c r="A590" i="1"/>
  <c r="K590" i="1"/>
  <c r="A26" i="1"/>
  <c r="K26" i="1"/>
  <c r="A88" i="1"/>
  <c r="K88" i="1"/>
  <c r="A520" i="1"/>
  <c r="K520" i="1"/>
  <c r="A335" i="1"/>
  <c r="K335" i="1"/>
  <c r="A442" i="1"/>
  <c r="K442" i="1"/>
  <c r="A238" i="1"/>
  <c r="K238" i="1"/>
  <c r="A331" i="1"/>
  <c r="K331" i="1"/>
  <c r="A292" i="1"/>
  <c r="K292" i="1"/>
  <c r="A474" i="1"/>
  <c r="K474" i="1"/>
  <c r="A62" i="1"/>
  <c r="K62" i="1"/>
  <c r="A422" i="1"/>
  <c r="K422" i="1"/>
  <c r="A560" i="1"/>
  <c r="K560" i="1"/>
  <c r="K209" i="1"/>
  <c r="K445" i="1"/>
  <c r="K206" i="1"/>
  <c r="A170" i="1"/>
  <c r="K170" i="1"/>
  <c r="A136" i="1"/>
  <c r="K136" i="1"/>
  <c r="A549" i="1"/>
  <c r="K549" i="1"/>
  <c r="A285" i="1"/>
  <c r="K285" i="1"/>
  <c r="A538" i="1"/>
  <c r="K538" i="1"/>
  <c r="A345" i="1"/>
  <c r="K345" i="1"/>
  <c r="A339" i="1"/>
  <c r="K339" i="1"/>
  <c r="A370" i="1"/>
  <c r="K370" i="1"/>
  <c r="A529" i="1"/>
  <c r="K529" i="1"/>
  <c r="A515" i="1"/>
  <c r="K515" i="1"/>
  <c r="A239" i="1"/>
  <c r="K239" i="1"/>
  <c r="A270" i="1"/>
  <c r="K270" i="1"/>
  <c r="A580" i="1"/>
  <c r="K580" i="1"/>
  <c r="A87" i="1"/>
  <c r="K87" i="1"/>
  <c r="A30" i="1"/>
  <c r="K30" i="1"/>
  <c r="A358" i="1"/>
  <c r="K358" i="1"/>
  <c r="A522" i="1"/>
  <c r="K522" i="1"/>
  <c r="A606" i="1"/>
  <c r="K606" i="1"/>
  <c r="A489" i="1"/>
  <c r="K489" i="1"/>
  <c r="A53" i="1"/>
  <c r="K53" i="1"/>
  <c r="A330" i="1"/>
  <c r="K330" i="1"/>
  <c r="K110" i="1"/>
  <c r="K379" i="1"/>
  <c r="A166" i="1"/>
  <c r="B166" i="1"/>
  <c r="K166" i="1"/>
  <c r="A463" i="1"/>
  <c r="K463" i="1"/>
  <c r="A390" i="1"/>
  <c r="K390" i="1"/>
  <c r="A277" i="1"/>
  <c r="K277" i="1"/>
  <c r="A140" i="1"/>
  <c r="K140" i="1"/>
  <c r="A472" i="1"/>
  <c r="K472" i="1"/>
  <c r="A415" i="1"/>
  <c r="K415" i="1"/>
  <c r="A193" i="1"/>
  <c r="K193" i="1"/>
  <c r="A340" i="1"/>
  <c r="K340" i="1"/>
  <c r="A366" i="1"/>
  <c r="K366" i="1"/>
  <c r="A492" i="1"/>
  <c r="K492" i="1"/>
  <c r="A562" i="1"/>
  <c r="K562" i="1"/>
  <c r="A325" i="1"/>
  <c r="K325" i="1"/>
  <c r="A89" i="1"/>
  <c r="K89" i="1"/>
  <c r="A443" i="1"/>
  <c r="K443" i="1"/>
  <c r="A570" i="1"/>
  <c r="K570" i="1"/>
  <c r="A604" i="1"/>
  <c r="K604" i="1"/>
  <c r="A158" i="1"/>
  <c r="K158" i="1"/>
  <c r="A324" i="1"/>
  <c r="K324" i="1"/>
  <c r="A435" i="1"/>
  <c r="K435" i="1"/>
  <c r="A510" i="1"/>
  <c r="K510" i="1"/>
  <c r="A306" i="1"/>
  <c r="K306" i="1"/>
  <c r="A412" i="1"/>
  <c r="K412" i="1"/>
  <c r="A23" i="1"/>
  <c r="K23" i="1"/>
  <c r="A307" i="1"/>
  <c r="K307" i="1"/>
  <c r="A208" i="1"/>
  <c r="K208" i="1"/>
  <c r="A533" i="1"/>
  <c r="K533" i="1"/>
  <c r="A338" i="1"/>
  <c r="K338" i="1"/>
  <c r="A344" i="1"/>
  <c r="K344" i="1"/>
  <c r="A350" i="1"/>
  <c r="K350" i="1"/>
  <c r="A203" i="1"/>
  <c r="K203" i="1"/>
  <c r="A482" i="1"/>
  <c r="K482" i="1"/>
  <c r="A555" i="1"/>
  <c r="K555" i="1"/>
  <c r="A186" i="1"/>
  <c r="K186" i="1"/>
  <c r="A103" i="1"/>
  <c r="K103" i="1"/>
  <c r="A122" i="1"/>
  <c r="K122" i="1"/>
  <c r="K6" i="1"/>
  <c r="K540" i="1"/>
  <c r="K12" i="1"/>
  <c r="K14" i="1"/>
  <c r="K17" i="1"/>
  <c r="K20" i="1"/>
  <c r="K592" i="1"/>
  <c r="A189" i="1"/>
  <c r="K189" i="1"/>
  <c r="A274" i="1"/>
  <c r="K274" i="1"/>
  <c r="A531" i="1"/>
  <c r="K531" i="1"/>
  <c r="A190" i="1"/>
  <c r="K190" i="1"/>
  <c r="A119" i="1"/>
  <c r="K119" i="1"/>
  <c r="A511" i="1"/>
  <c r="K511" i="1"/>
  <c r="A438" i="1"/>
  <c r="K438" i="1"/>
  <c r="A455" i="1"/>
  <c r="K455" i="1"/>
  <c r="A120" i="1"/>
  <c r="K120" i="1"/>
  <c r="A77" i="1"/>
  <c r="K77" i="1"/>
  <c r="A524" i="1"/>
  <c r="K524" i="1"/>
  <c r="A131" i="1"/>
  <c r="K131" i="1"/>
  <c r="A43" i="1"/>
  <c r="K43" i="1"/>
  <c r="A544" i="1"/>
  <c r="K544" i="1"/>
  <c r="A376" i="1"/>
  <c r="K376" i="1"/>
  <c r="A157" i="1"/>
  <c r="K157" i="1"/>
  <c r="K539" i="1"/>
  <c r="K286" i="1"/>
  <c r="K368" i="1"/>
  <c r="A329" i="1"/>
  <c r="K329" i="1"/>
  <c r="A332" i="1"/>
  <c r="K332" i="1"/>
  <c r="A501" i="1"/>
  <c r="K501" i="1"/>
  <c r="A528" i="1"/>
  <c r="K528" i="1"/>
  <c r="A563" i="1"/>
  <c r="K563" i="1"/>
  <c r="A406" i="1"/>
  <c r="K406" i="1"/>
  <c r="A468" i="1"/>
  <c r="K468" i="1"/>
  <c r="A224" i="1"/>
  <c r="K224" i="1"/>
  <c r="A393" i="1"/>
  <c r="K393" i="1"/>
  <c r="A174" i="1"/>
  <c r="K174" i="1"/>
  <c r="A41" i="1"/>
  <c r="K41" i="1"/>
  <c r="A78" i="1"/>
  <c r="K78" i="1"/>
  <c r="A216" i="1"/>
  <c r="K216" i="1"/>
  <c r="A413" i="1"/>
  <c r="K413" i="1"/>
  <c r="A281" i="1"/>
  <c r="K281" i="1"/>
  <c r="A56" i="1"/>
  <c r="K56" i="1"/>
  <c r="A275" i="1"/>
  <c r="K275" i="1"/>
  <c r="A576" i="1"/>
  <c r="K576" i="1"/>
  <c r="B484" i="1"/>
  <c r="K484" i="1"/>
  <c r="K574" i="1"/>
  <c r="K273" i="1"/>
  <c r="A432" i="1"/>
  <c r="K432" i="1"/>
  <c r="A233" i="1"/>
  <c r="K233" i="1"/>
  <c r="A52" i="1"/>
  <c r="K52" i="1"/>
  <c r="A234" i="1"/>
  <c r="K234" i="1"/>
  <c r="A58" i="1"/>
  <c r="K58" i="1"/>
  <c r="A333" i="1"/>
  <c r="K333" i="1"/>
  <c r="A518" i="1"/>
  <c r="K518" i="1"/>
  <c r="A519" i="1"/>
  <c r="K519" i="1"/>
  <c r="A25" i="1"/>
  <c r="K25" i="1"/>
  <c r="A287" i="1"/>
  <c r="K287" i="1"/>
  <c r="A4" i="1"/>
  <c r="K4" i="1"/>
  <c r="A355" i="1"/>
  <c r="K355" i="1"/>
  <c r="A109" i="1"/>
  <c r="K109" i="1"/>
  <c r="A115" i="1"/>
  <c r="K115" i="1"/>
  <c r="A409" i="1"/>
  <c r="K409" i="1"/>
  <c r="A311" i="1"/>
  <c r="K311" i="1"/>
  <c r="K8" i="1"/>
  <c r="K184" i="1"/>
  <c r="K512" i="1"/>
  <c r="K11" i="1"/>
  <c r="A65" i="1"/>
  <c r="K65" i="1"/>
  <c r="A181" i="1"/>
  <c r="K181" i="1"/>
  <c r="A182" i="1"/>
  <c r="K182" i="1"/>
  <c r="A425" i="1"/>
  <c r="K425" i="1"/>
  <c r="A276" i="1"/>
  <c r="K276" i="1"/>
  <c r="A408" i="1"/>
  <c r="K408" i="1"/>
  <c r="A255" i="1"/>
  <c r="K255" i="1"/>
  <c r="A231" i="1"/>
  <c r="K231" i="1"/>
  <c r="A516" i="1"/>
  <c r="K516" i="1"/>
  <c r="A517" i="1"/>
  <c r="K517" i="1"/>
  <c r="A242" i="1"/>
  <c r="K242" i="1"/>
  <c r="A556" i="1"/>
  <c r="K556" i="1"/>
  <c r="A537" i="1"/>
  <c r="K537" i="1"/>
  <c r="A473" i="1"/>
  <c r="K473" i="1"/>
  <c r="A112" i="1"/>
  <c r="K112" i="1"/>
  <c r="K348" i="1"/>
  <c r="K507" i="1"/>
  <c r="K349" i="1"/>
  <c r="A469" i="1"/>
  <c r="K469" i="1"/>
  <c r="A73" i="1"/>
  <c r="K73" i="1"/>
  <c r="A341" i="1"/>
  <c r="K341" i="1"/>
  <c r="A51" i="1"/>
  <c r="K51" i="1"/>
  <c r="A495" i="1"/>
  <c r="K495" i="1"/>
  <c r="A213" i="1"/>
  <c r="K213" i="1"/>
  <c r="A589" i="1"/>
  <c r="K589" i="1"/>
  <c r="A93" i="1"/>
  <c r="K93" i="1"/>
  <c r="A254" i="1"/>
  <c r="K254" i="1"/>
  <c r="A470" i="1"/>
  <c r="K470" i="1"/>
  <c r="A192" i="1"/>
  <c r="K192" i="1"/>
  <c r="A80" i="1"/>
  <c r="K80" i="1"/>
  <c r="A258" i="1"/>
  <c r="K258" i="1"/>
  <c r="A202" i="1"/>
  <c r="K202" i="1"/>
  <c r="K566" i="1"/>
  <c r="K359" i="1"/>
  <c r="K79" i="1"/>
  <c r="A31" i="1"/>
  <c r="K31" i="1"/>
  <c r="A54" i="1"/>
  <c r="K54" i="1"/>
  <c r="A557" i="1"/>
  <c r="K557" i="1"/>
  <c r="A499" i="1"/>
  <c r="K499" i="1"/>
  <c r="A217" i="1"/>
  <c r="K217" i="1"/>
  <c r="A118" i="1"/>
  <c r="K118" i="1"/>
  <c r="A117" i="1"/>
  <c r="K117" i="1"/>
  <c r="A159" i="1"/>
  <c r="K159" i="1"/>
  <c r="A483" i="1"/>
  <c r="K483" i="1"/>
  <c r="A15" i="1"/>
  <c r="K15" i="1"/>
  <c r="A137" i="1"/>
  <c r="K137" i="1"/>
  <c r="A278" i="1"/>
  <c r="K278" i="1"/>
  <c r="K279" i="1"/>
  <c r="K347" i="1"/>
  <c r="K508" i="1"/>
  <c r="A129" i="1"/>
  <c r="K129" i="1"/>
  <c r="A571" i="1"/>
  <c r="K571" i="1"/>
  <c r="A494" i="1"/>
  <c r="K494" i="1"/>
  <c r="A284" i="1"/>
  <c r="A39" i="1"/>
  <c r="K39" i="1"/>
  <c r="A565" i="1"/>
  <c r="K565" i="1"/>
  <c r="A24" i="1"/>
  <c r="K24" i="1"/>
  <c r="A309" i="1"/>
  <c r="K309" i="1"/>
  <c r="A458" i="1"/>
  <c r="K458" i="1"/>
  <c r="A142" i="1"/>
  <c r="K142" i="1"/>
  <c r="A188" i="1"/>
  <c r="K188" i="1"/>
  <c r="A395" i="1"/>
  <c r="K395" i="1"/>
  <c r="A177" i="1"/>
  <c r="K177" i="1"/>
  <c r="A434" i="1"/>
  <c r="K434" i="1"/>
  <c r="K199" i="1"/>
  <c r="A502" i="1"/>
  <c r="K502" i="1"/>
  <c r="A542" i="1"/>
  <c r="K542" i="1"/>
  <c r="A241" i="1"/>
  <c r="K241" i="1"/>
  <c r="A173" i="1"/>
  <c r="K173" i="1"/>
  <c r="A569" i="1"/>
  <c r="K569" i="1"/>
  <c r="A33" i="1"/>
  <c r="K33" i="1"/>
  <c r="A160" i="1"/>
  <c r="K160" i="1"/>
  <c r="A476" i="1"/>
  <c r="K476" i="1"/>
  <c r="A235" i="1"/>
  <c r="K235" i="1"/>
  <c r="A313" i="1"/>
  <c r="K313" i="1"/>
  <c r="A441" i="1"/>
  <c r="K441" i="1"/>
  <c r="A266" i="1"/>
  <c r="K266" i="1"/>
  <c r="A264" i="1"/>
  <c r="K264" i="1"/>
  <c r="A269" i="1"/>
  <c r="K269" i="1"/>
  <c r="A63" i="1"/>
  <c r="K63" i="1"/>
  <c r="A552" i="1"/>
  <c r="K552" i="1"/>
  <c r="A367" i="1"/>
  <c r="K367" i="1"/>
  <c r="A42" i="1"/>
  <c r="K42" i="1"/>
  <c r="A298" i="1"/>
  <c r="K298" i="1"/>
  <c r="A210" i="1"/>
  <c r="K210" i="1"/>
  <c r="A68" i="1"/>
  <c r="K68" i="1"/>
  <c r="A400" i="1"/>
  <c r="K400" i="1"/>
  <c r="A299" i="1"/>
  <c r="K299" i="1"/>
  <c r="A35" i="1"/>
  <c r="K35" i="1"/>
  <c r="A343" i="1"/>
  <c r="K343" i="1"/>
  <c r="A514" i="1"/>
  <c r="K514" i="1"/>
  <c r="A9" i="1"/>
  <c r="K9" i="1"/>
  <c r="A7" i="1"/>
  <c r="K7" i="1"/>
  <c r="A10" i="1"/>
  <c r="K10" i="1"/>
  <c r="A168" i="1"/>
  <c r="K168" i="1"/>
  <c r="A377" i="1"/>
  <c r="K377" i="1"/>
  <c r="A386" i="1"/>
  <c r="K386" i="1"/>
  <c r="A143" i="1"/>
  <c r="K143" i="1"/>
  <c r="A271" i="1"/>
  <c r="K271" i="1"/>
  <c r="A297" i="1"/>
  <c r="K297" i="1"/>
  <c r="A38" i="1"/>
  <c r="K38" i="1"/>
  <c r="A553" i="1"/>
  <c r="K553" i="1"/>
  <c r="A70" i="1"/>
  <c r="K70" i="1"/>
  <c r="A145" i="1"/>
  <c r="K145" i="1"/>
  <c r="A288" i="1"/>
  <c r="K288" i="1"/>
  <c r="A280" i="1"/>
  <c r="K280" i="1"/>
  <c r="A265" i="1"/>
  <c r="K265" i="1"/>
  <c r="A564" i="1"/>
  <c r="K564" i="1"/>
  <c r="A214" i="1"/>
  <c r="K214" i="1"/>
  <c r="A545" i="1"/>
  <c r="K545" i="1"/>
  <c r="A134" i="1"/>
  <c r="K134" i="1"/>
  <c r="A421" i="1"/>
  <c r="K421" i="1"/>
  <c r="A144" i="1"/>
  <c r="K144" i="1"/>
  <c r="A211" i="1"/>
  <c r="K211" i="1"/>
  <c r="A586" i="1"/>
  <c r="K586" i="1"/>
  <c r="A407" i="1"/>
  <c r="K407" i="1"/>
  <c r="A581" i="1"/>
  <c r="K581" i="1"/>
  <c r="A261" i="1"/>
  <c r="K261" i="1"/>
  <c r="A272" i="1"/>
  <c r="K272" i="1"/>
  <c r="A381" i="1"/>
  <c r="K381" i="1"/>
  <c r="A268" i="1"/>
  <c r="K268" i="1"/>
  <c r="A267" i="1"/>
  <c r="K267" i="1"/>
  <c r="A71" i="1"/>
  <c r="K71" i="1"/>
  <c r="A67" i="1"/>
  <c r="K67" i="1"/>
  <c r="A171" i="1"/>
  <c r="K171" i="1"/>
  <c r="A169" i="1"/>
  <c r="K169" i="1"/>
  <c r="A471" i="1"/>
  <c r="K471" i="1"/>
  <c r="A582" i="1"/>
  <c r="K582" i="1"/>
  <c r="A48" i="1"/>
  <c r="B48" i="1"/>
  <c r="K48" i="1"/>
  <c r="A493" i="1"/>
  <c r="K493" i="1"/>
  <c r="A305" i="1"/>
  <c r="K305" i="1"/>
  <c r="A593" i="1"/>
  <c r="K593" i="1"/>
  <c r="A227" i="1"/>
  <c r="K227" i="1"/>
  <c r="A105" i="1"/>
  <c r="K105" i="1"/>
  <c r="A328" i="1"/>
  <c r="K328" i="1"/>
  <c r="A354" i="1"/>
  <c r="K354" i="1"/>
  <c r="A135" i="1"/>
  <c r="K135" i="1"/>
  <c r="A69" i="1"/>
  <c r="K69" i="1"/>
  <c r="A583" i="1"/>
  <c r="K583" i="1"/>
  <c r="A165" i="1"/>
  <c r="K165" i="1"/>
  <c r="A554" i="1"/>
  <c r="K554" i="1"/>
  <c r="A29" i="1"/>
  <c r="K29" i="1"/>
  <c r="A64" i="1"/>
  <c r="K64" i="1"/>
  <c r="A504" i="1"/>
  <c r="B504" i="1"/>
  <c r="K504" i="1"/>
  <c r="A72" i="1"/>
  <c r="K72" i="1"/>
  <c r="A92" i="1"/>
  <c r="K92" i="1"/>
  <c r="A125" i="1"/>
  <c r="K125" i="1"/>
  <c r="A230" i="1"/>
  <c r="K230" i="1"/>
  <c r="A50" i="1"/>
  <c r="K50" i="1"/>
  <c r="A543" i="1"/>
  <c r="K543" i="1"/>
  <c r="A57" i="1"/>
  <c r="K57" i="1"/>
  <c r="A346" i="1"/>
  <c r="K346" i="1"/>
  <c r="A245" i="1"/>
  <c r="K245" i="1"/>
  <c r="A465" i="1"/>
  <c r="K465" i="1"/>
  <c r="A497" i="1"/>
  <c r="K497" i="1"/>
  <c r="A32" i="1"/>
  <c r="K32" i="1"/>
  <c r="A178" i="1"/>
  <c r="K178" i="1"/>
  <c r="A387" i="1"/>
  <c r="K387" i="1"/>
  <c r="A416" i="1"/>
  <c r="K416" i="1"/>
  <c r="A498" i="1"/>
  <c r="K498" i="1"/>
  <c r="A577" i="1"/>
  <c r="K577" i="1"/>
  <c r="A357" i="1"/>
  <c r="K357" i="1"/>
  <c r="A303" i="1"/>
  <c r="K303" i="1"/>
  <c r="A28" i="1"/>
  <c r="K28" i="1"/>
  <c r="A454" i="1"/>
  <c r="K454" i="1"/>
  <c r="A302" i="1"/>
  <c r="K302" i="1"/>
  <c r="A83" i="1"/>
  <c r="K83" i="1"/>
  <c r="A449" i="1"/>
  <c r="K449" i="1"/>
  <c r="A85" i="1"/>
  <c r="K85" i="1"/>
  <c r="A414" i="1"/>
  <c r="K414" i="1"/>
  <c r="A360" i="1"/>
  <c r="K360" i="1"/>
  <c r="A398" i="1"/>
  <c r="K398" i="1"/>
  <c r="A363" i="1"/>
  <c r="K363" i="1"/>
  <c r="A127" i="1"/>
  <c r="K127" i="1"/>
  <c r="A132" i="1"/>
  <c r="K132" i="1"/>
  <c r="A179" i="1"/>
  <c r="K179" i="1"/>
  <c r="A399" i="1"/>
  <c r="K399" i="1"/>
  <c r="A46" i="1"/>
  <c r="K46" i="1"/>
  <c r="A108" i="1"/>
  <c r="K108" i="1"/>
  <c r="A194" i="1"/>
  <c r="K194" i="1"/>
  <c r="A60" i="1"/>
  <c r="K60" i="1"/>
  <c r="A101" i="1"/>
  <c r="K101" i="1"/>
  <c r="A59" i="1"/>
  <c r="K59" i="1"/>
  <c r="A200" i="1"/>
  <c r="K200" i="1"/>
  <c r="A172" i="1"/>
  <c r="K172" i="1"/>
  <c r="A130" i="1"/>
  <c r="K130" i="1"/>
  <c r="A572" i="1"/>
  <c r="K572" i="1"/>
  <c r="A603" i="1"/>
  <c r="K603" i="1"/>
  <c r="A161" i="1"/>
  <c r="K161" i="1"/>
  <c r="A605" i="1"/>
  <c r="K605" i="1"/>
  <c r="A123" i="1"/>
  <c r="K123" i="1"/>
  <c r="A296" i="1"/>
  <c r="K296" i="1"/>
  <c r="A578" i="1"/>
  <c r="K578" i="1"/>
  <c r="A397" i="1"/>
  <c r="K397" i="1"/>
  <c r="A369" i="1"/>
  <c r="K369" i="1"/>
  <c r="A388" i="1"/>
  <c r="K388" i="1"/>
  <c r="A326" i="1"/>
  <c r="K326" i="1"/>
  <c r="A548" i="1"/>
  <c r="K548" i="1"/>
  <c r="A559" i="1"/>
  <c r="K559" i="1"/>
  <c r="A568" i="1"/>
  <c r="K568" i="1"/>
  <c r="A420" i="1"/>
  <c r="K420" i="1"/>
  <c r="A372" i="1"/>
  <c r="K372" i="1"/>
  <c r="A102" i="1"/>
  <c r="K102" i="1"/>
  <c r="A373" i="1"/>
  <c r="K373" i="1"/>
  <c r="A323" i="1"/>
  <c r="K323" i="1"/>
  <c r="A187" i="1"/>
  <c r="K187" i="1"/>
  <c r="K459" i="1"/>
  <c r="A365" i="1"/>
  <c r="K365" i="1"/>
  <c r="A218" i="1"/>
  <c r="K218" i="1"/>
  <c r="A95" i="1"/>
  <c r="K95" i="1"/>
  <c r="A262" i="1"/>
  <c r="K262" i="1"/>
  <c r="A389" i="1"/>
  <c r="K389" i="1"/>
  <c r="A600" i="1"/>
  <c r="K600" i="1"/>
  <c r="A304" i="1"/>
  <c r="K304" i="1"/>
  <c r="A536" i="1"/>
  <c r="K536" i="1"/>
  <c r="A310" i="1"/>
  <c r="K310" i="1"/>
  <c r="A55" i="1"/>
  <c r="K55" i="1"/>
  <c r="A356" i="1"/>
  <c r="K356" i="1"/>
  <c r="A312" i="1"/>
  <c r="K312" i="1"/>
  <c r="A116" i="1"/>
  <c r="K116" i="1"/>
  <c r="A228" i="1"/>
  <c r="K228" i="1"/>
  <c r="A164" i="1"/>
  <c r="K164" i="1"/>
  <c r="A466" i="1"/>
  <c r="K466" i="1"/>
  <c r="A410" i="1"/>
  <c r="K410" i="1"/>
  <c r="A402" i="1"/>
  <c r="K402" i="1"/>
  <c r="A481" i="1"/>
  <c r="K481" i="1"/>
  <c r="A391" i="1"/>
  <c r="K391" i="1"/>
  <c r="A141" i="1"/>
  <c r="K141" i="1"/>
  <c r="A464" i="1"/>
  <c r="K464" i="1"/>
  <c r="A424" i="1"/>
  <c r="K424" i="1"/>
  <c r="A293" i="1"/>
  <c r="K293" i="1"/>
  <c r="A66" i="1"/>
  <c r="K66" i="1"/>
  <c r="A40" i="1"/>
  <c r="K40" i="1"/>
  <c r="A191" i="1"/>
  <c r="K191" i="1"/>
  <c r="A575" i="1"/>
  <c r="K575" i="1"/>
  <c r="A427" i="1"/>
  <c r="K427" i="1"/>
  <c r="A201" i="1"/>
  <c r="K201" i="1"/>
  <c r="A450" i="1"/>
  <c r="K450" i="1"/>
  <c r="A229" i="1"/>
  <c r="K229" i="1"/>
  <c r="A163" i="1"/>
  <c r="K163" i="1"/>
  <c r="K336" i="1"/>
  <c r="K81" i="1"/>
  <c r="A249" i="1"/>
  <c r="K249" i="1"/>
  <c r="A394" i="1"/>
  <c r="K394" i="1"/>
  <c r="A396" i="1"/>
  <c r="K396" i="1"/>
  <c r="A61" i="1"/>
  <c r="K61" i="1"/>
  <c r="A246" i="1"/>
  <c r="K246" i="1"/>
  <c r="A121" i="1"/>
  <c r="K121" i="1"/>
  <c r="A257" i="1"/>
  <c r="K257" i="1"/>
  <c r="A587" i="1"/>
  <c r="K587" i="1"/>
  <c r="A598" i="1"/>
  <c r="K598" i="1"/>
  <c r="A467" i="1"/>
  <c r="K467" i="1"/>
  <c r="A599" i="1"/>
  <c r="K599" i="1"/>
  <c r="A401" i="1"/>
  <c r="K401" i="1"/>
  <c r="A295" i="1"/>
  <c r="K295" i="1"/>
  <c r="A496" i="1"/>
  <c r="K496" i="1"/>
  <c r="A151" i="1"/>
  <c r="K151" i="1"/>
  <c r="A327" i="1"/>
  <c r="K327" i="1"/>
  <c r="A126" i="1"/>
  <c r="K126" i="1"/>
  <c r="A322" i="1"/>
  <c r="K322" i="1"/>
  <c r="A452" i="1"/>
  <c r="K452" i="1"/>
  <c r="A314" i="1"/>
  <c r="K314" i="1"/>
  <c r="K351" i="1"/>
  <c r="K222" i="1"/>
  <c r="K283" i="1"/>
  <c r="K457" i="1"/>
</calcChain>
</file>

<file path=xl/sharedStrings.xml><?xml version="1.0" encoding="utf-8"?>
<sst xmlns="http://schemas.openxmlformats.org/spreadsheetml/2006/main" count="5178" uniqueCount="2065">
  <si>
    <t>Project Number</t>
  </si>
  <si>
    <t>Project Name</t>
  </si>
  <si>
    <t>Project City</t>
  </si>
  <si>
    <t>Project County</t>
  </si>
  <si>
    <t>Manager Full Name</t>
  </si>
  <si>
    <t>Owner Full Name</t>
  </si>
  <si>
    <t>Owner Contact Full Name</t>
  </si>
  <si>
    <t>Compliance Monitoring Assigned To</t>
  </si>
  <si>
    <t>Owner Contact Phone Number</t>
  </si>
  <si>
    <t>MEADOW CREST GARDENS I</t>
  </si>
  <si>
    <t>DAVENPORT</t>
  </si>
  <si>
    <t>Scott</t>
  </si>
  <si>
    <t>Pioneer Property Management Inc</t>
  </si>
  <si>
    <t>Brian Fritz</t>
  </si>
  <si>
    <t>Meadow Crest Gardens LP</t>
  </si>
  <si>
    <t>James Bergman</t>
  </si>
  <si>
    <t>Carol Wells</t>
  </si>
  <si>
    <t>HENRY STOUT SENIOR APARTMENTS</t>
  </si>
  <si>
    <t>DUBUQUE</t>
  </si>
  <si>
    <t>Dubuque</t>
  </si>
  <si>
    <t>Paramark Corp</t>
  </si>
  <si>
    <t>Jessica Brimmer</t>
  </si>
  <si>
    <t>MDI Limited Partnership #47</t>
  </si>
  <si>
    <t>Craig Stenson</t>
  </si>
  <si>
    <t>BENNETT BUILDING</t>
  </si>
  <si>
    <t>COUNCIL BLUFFS</t>
  </si>
  <si>
    <t>Pottawattamie</t>
  </si>
  <si>
    <t>Wistar Group</t>
  </si>
  <si>
    <t>Doug Mertes</t>
  </si>
  <si>
    <t>CB Bennett 2019 LLC</t>
  </si>
  <si>
    <t>Terry Christensen</t>
  </si>
  <si>
    <t>Kymberly Stevenson</t>
  </si>
  <si>
    <t>ST. KATHERINE'S</t>
  </si>
  <si>
    <t>Davenport Housing LP</t>
  </si>
  <si>
    <t>Brian Myers</t>
  </si>
  <si>
    <t>00-HM-216-731</t>
  </si>
  <si>
    <t>WOODBURY RIDGE</t>
  </si>
  <si>
    <t>MOVILLE</t>
  </si>
  <si>
    <t>Woodbury</t>
  </si>
  <si>
    <t>Community Housing Initiatives Inc</t>
  </si>
  <si>
    <t>Chelsie Vander Weide</t>
  </si>
  <si>
    <t>Woodbury Ridge LP</t>
  </si>
  <si>
    <t>Sam Erickson</t>
  </si>
  <si>
    <t>Des Moines</t>
  </si>
  <si>
    <t>Lisa L Strait</t>
  </si>
  <si>
    <t>00-HM-219-731</t>
  </si>
  <si>
    <t>SUMMERFIELD PARK</t>
  </si>
  <si>
    <t>SPIRIT LAKE</t>
  </si>
  <si>
    <t>Dickinson</t>
  </si>
  <si>
    <t>Summerfield Park LP</t>
  </si>
  <si>
    <t>00-HM-422-731</t>
  </si>
  <si>
    <t>RIVERSIDE ESTATES</t>
  </si>
  <si>
    <t>SIOUX CITY</t>
  </si>
  <si>
    <t>Riverside Estates LP</t>
  </si>
  <si>
    <t>James C Johnson</t>
  </si>
  <si>
    <t>00-HMS-423-721</t>
  </si>
  <si>
    <t>LEXINGTON PLACE</t>
  </si>
  <si>
    <t>IOWA CITY</t>
  </si>
  <si>
    <t>Johnson</t>
  </si>
  <si>
    <t>Keyway Management Company LLC</t>
  </si>
  <si>
    <t>Justin Burns</t>
  </si>
  <si>
    <t>Lexington Place Limited Partnership</t>
  </si>
  <si>
    <t>Jesse Burns</t>
  </si>
  <si>
    <t>00-HM-424-721</t>
  </si>
  <si>
    <t>MONTEREY POINT</t>
  </si>
  <si>
    <t>CARROLL</t>
  </si>
  <si>
    <t>Carroll</t>
  </si>
  <si>
    <t>Carroll IHA Senior Housing Limited Partnership</t>
  </si>
  <si>
    <t>00-HM-425-721</t>
  </si>
  <si>
    <t>DEER MEADOW</t>
  </si>
  <si>
    <t>KEOKUK</t>
  </si>
  <si>
    <t>Lee</t>
  </si>
  <si>
    <t>Keokuk Senior Housing LP</t>
  </si>
  <si>
    <t>REGENCY HEIGHTS II SENIOR RESIDENCE</t>
  </si>
  <si>
    <t>Perry Reid Properties</t>
  </si>
  <si>
    <t>Julie Johnson</t>
  </si>
  <si>
    <t>Regency Heights Iowa City II, LLC</t>
  </si>
  <si>
    <t>Angie Welton</t>
  </si>
  <si>
    <t>Jennifer A Wong</t>
  </si>
  <si>
    <t>00-HM-427-721</t>
  </si>
  <si>
    <t>SUGAR CREEK APTS</t>
  </si>
  <si>
    <t>WAUKEE</t>
  </si>
  <si>
    <t>Dallas</t>
  </si>
  <si>
    <t>Truverse Management</t>
  </si>
  <si>
    <t>Victoria Endriss</t>
  </si>
  <si>
    <t>Sugar Creek Waukee LP</t>
  </si>
  <si>
    <t>William E Spreitzer</t>
  </si>
  <si>
    <t>Rachael S Hoffman</t>
  </si>
  <si>
    <t>WINDFIELD WEST APTS</t>
  </si>
  <si>
    <t>Conlin Properties Inc</t>
  </si>
  <si>
    <t>Beth Ehlers</t>
  </si>
  <si>
    <t>Windfield West Limited Partnership</t>
  </si>
  <si>
    <t>00-HM-430-731</t>
  </si>
  <si>
    <t>SHERWOOD PLACE</t>
  </si>
  <si>
    <t>Mercy Housing Management Group</t>
  </si>
  <si>
    <t>Amanda Petersen</t>
  </si>
  <si>
    <t>Mercy Housing Iowa II LP</t>
  </si>
  <si>
    <t>Carolyn Purtle</t>
  </si>
  <si>
    <t>THE CENTER APTS</t>
  </si>
  <si>
    <t>Center for Siouxland</t>
  </si>
  <si>
    <t>Jonette Spurlock</t>
  </si>
  <si>
    <t>00-HM-431-731</t>
  </si>
  <si>
    <t>FAIRWAY ESTATES</t>
  </si>
  <si>
    <t>SPENCER</t>
  </si>
  <si>
    <t>Clay</t>
  </si>
  <si>
    <t>Carlson Property Holdings and Mgmt</t>
  </si>
  <si>
    <t>Tanya Carlson</t>
  </si>
  <si>
    <t>SPNIA LP</t>
  </si>
  <si>
    <t>Brad Carlson</t>
  </si>
  <si>
    <t>CEDARWOOD HILLS</t>
  </si>
  <si>
    <t>CEDAR RAPIDS</t>
  </si>
  <si>
    <t>Linn</t>
  </si>
  <si>
    <t>Broad Management Group LLC</t>
  </si>
  <si>
    <t>Dov Shapiro</t>
  </si>
  <si>
    <t>Cedarwood Hills PA LLC</t>
  </si>
  <si>
    <t>Robert Wolf</t>
  </si>
  <si>
    <t>00-HM-202-28</t>
  </si>
  <si>
    <t>THE HOUSING FELLOWSHIP</t>
  </si>
  <si>
    <t>The Housing Fellowship</t>
  </si>
  <si>
    <t>Ross Resetich</t>
  </si>
  <si>
    <t>00-HMS-402-731</t>
  </si>
  <si>
    <t>SOUTH SUMMIT APTS III</t>
  </si>
  <si>
    <t>STUART</t>
  </si>
  <si>
    <t>Adair</t>
  </si>
  <si>
    <t>AMC Real Estate, LLC</t>
  </si>
  <si>
    <t>Alex de Catalan</t>
  </si>
  <si>
    <t>01-HM-219-21</t>
  </si>
  <si>
    <t>DECORAH WOOLEN MILL</t>
  </si>
  <si>
    <t>DECORAH</t>
  </si>
  <si>
    <t>Winneshiek</t>
  </si>
  <si>
    <t>Northeast Iowa Community Action Corporation</t>
  </si>
  <si>
    <t>Jeremy Jostand</t>
  </si>
  <si>
    <t>Decorah Woolen Mills LP</t>
  </si>
  <si>
    <t>Trisha S Wilkins</t>
  </si>
  <si>
    <t>01-HM-420-28</t>
  </si>
  <si>
    <t>CENTRAL PLACE APTS</t>
  </si>
  <si>
    <t>FORT DODGE</t>
  </si>
  <si>
    <t>Webster</t>
  </si>
  <si>
    <t>MDI Limited Partnership 62</t>
  </si>
  <si>
    <t>01-HM-229-28</t>
  </si>
  <si>
    <t>VAN ALLEN</t>
  </si>
  <si>
    <t>CLINTON</t>
  </si>
  <si>
    <t>Clinton</t>
  </si>
  <si>
    <t>Van Allen LP</t>
  </si>
  <si>
    <t>01-HM-434-731</t>
  </si>
  <si>
    <t>HEARTHSTONE APARTMENTS</t>
  </si>
  <si>
    <t>SXCIA LP</t>
  </si>
  <si>
    <t>01-HM-412-731</t>
  </si>
  <si>
    <t>RIVER OAKS</t>
  </si>
  <si>
    <t>MARSHALLTOWN</t>
  </si>
  <si>
    <t>Marshall</t>
  </si>
  <si>
    <t>River Oaks IHA LP</t>
  </si>
  <si>
    <t>LINCOLN RIDGE</t>
  </si>
  <si>
    <t>Keokuk Housing Authority</t>
  </si>
  <si>
    <t>Don Amsler</t>
  </si>
  <si>
    <t>Lee County</t>
  </si>
  <si>
    <t>Ryanne Wood</t>
  </si>
  <si>
    <t>01-HM-425-731</t>
  </si>
  <si>
    <t>LYN CROSSING APARTMENTS</t>
  </si>
  <si>
    <t>DES MOINES</t>
  </si>
  <si>
    <t>Polk</t>
  </si>
  <si>
    <t>Anawim Housing</t>
  </si>
  <si>
    <t>Russ Frazier</t>
  </si>
  <si>
    <t>DSMIA LLLP</t>
  </si>
  <si>
    <t>William G Hedlund</t>
  </si>
  <si>
    <t>PINNACLE APTS OF WATERLOO</t>
  </si>
  <si>
    <t>WATERLOO</t>
  </si>
  <si>
    <t>Black Hawk</t>
  </si>
  <si>
    <t>Central States Property Management LLC</t>
  </si>
  <si>
    <t>Emily Petty</t>
  </si>
  <si>
    <t>Waterloo Apartment Partners LLC</t>
  </si>
  <si>
    <t>John Foley</t>
  </si>
  <si>
    <t>PINNACLE OF BOONE</t>
  </si>
  <si>
    <t>BOONE</t>
  </si>
  <si>
    <t>Boone</t>
  </si>
  <si>
    <t>Kimberly McMorris</t>
  </si>
  <si>
    <t>203 Harrison Street LP</t>
  </si>
  <si>
    <t>01-HM-428-731</t>
  </si>
  <si>
    <t>BLACK HAWK VILLAGE</t>
  </si>
  <si>
    <t>BURLINGTON</t>
  </si>
  <si>
    <t>Adam Wiesner</t>
  </si>
  <si>
    <t>Black Hawk Village LP</t>
  </si>
  <si>
    <t>David Wiesner</t>
  </si>
  <si>
    <t>PARKSIDE EAST I APARTMENTS</t>
  </si>
  <si>
    <t>Parkside East LP</t>
  </si>
  <si>
    <t>RIVERBEND DUPLEXES</t>
  </si>
  <si>
    <t>Riverbend Duplexes LP</t>
  </si>
  <si>
    <t>MAPLE GROVE VILLAS</t>
  </si>
  <si>
    <t>WEST DES MOINES</t>
  </si>
  <si>
    <t>Yarco Companies</t>
  </si>
  <si>
    <t>Robert Schock</t>
  </si>
  <si>
    <t>Brisben Town Center Villas LP</t>
  </si>
  <si>
    <t>Hillary Zimmerman</t>
  </si>
  <si>
    <t>01-HMS-411-731</t>
  </si>
  <si>
    <t>SOUTH SUMMIT APTS IV</t>
  </si>
  <si>
    <t>01-HMS-412-721</t>
  </si>
  <si>
    <t>GREENVIEW TERRACE (TAMA SR HOUSING LP)</t>
  </si>
  <si>
    <t>TAMA</t>
  </si>
  <si>
    <t>Tama</t>
  </si>
  <si>
    <t>Tama Sr Housing LP</t>
  </si>
  <si>
    <t>02-HM-201-721</t>
  </si>
  <si>
    <t>VERA FRENCH MANOR</t>
  </si>
  <si>
    <t>Vera French Housing Corp</t>
  </si>
  <si>
    <t>Stacy Kiser-Willey</t>
  </si>
  <si>
    <t>VFH LLLP</t>
  </si>
  <si>
    <t>PARKSIDE EAST II APARTMENTS</t>
  </si>
  <si>
    <t>Parkside East II Limited Partnership</t>
  </si>
  <si>
    <t>WINDFIELD WEST II APARTMENTS</t>
  </si>
  <si>
    <t>Windfield West II Limited Partnership</t>
  </si>
  <si>
    <t>DEER RIDGE II APARTMENTS</t>
  </si>
  <si>
    <t>Raccoon Valley Estates Limited Partnership</t>
  </si>
  <si>
    <t>02-HM-408-721</t>
  </si>
  <si>
    <t>SPRING HILL APTS</t>
  </si>
  <si>
    <t>Mid-Step Services</t>
  </si>
  <si>
    <t>Karen Mathisen</t>
  </si>
  <si>
    <t>Sioux City Apartment Partners II LLC</t>
  </si>
  <si>
    <t>02-HM-410-731</t>
  </si>
  <si>
    <t>RIVER BIRCH ETO</t>
  </si>
  <si>
    <t>River Birch IHA Limited Partnership</t>
  </si>
  <si>
    <t>EMERSON POINT</t>
  </si>
  <si>
    <t>Emerson Point Limited Partnership</t>
  </si>
  <si>
    <t>NORTHRIDGE APTS II</t>
  </si>
  <si>
    <t>Fort Dodge Housing Agency</t>
  </si>
  <si>
    <t>Celia Taylor</t>
  </si>
  <si>
    <t>02-HM-214-731</t>
  </si>
  <si>
    <t>THORNBURY WAY</t>
  </si>
  <si>
    <t>Thornbury Way LP</t>
  </si>
  <si>
    <t>02-HM-215-28</t>
  </si>
  <si>
    <t>RIVER CITY APTS</t>
  </si>
  <si>
    <t>MASON CITY</t>
  </si>
  <si>
    <t>Cerro Gordo</t>
  </si>
  <si>
    <t>River City LP</t>
  </si>
  <si>
    <t>ARBOR GLEN</t>
  </si>
  <si>
    <t>Gronen Properties, LLC</t>
  </si>
  <si>
    <t>Lin Manders</t>
  </si>
  <si>
    <t>Arbor Glen Apartments LLC</t>
  </si>
  <si>
    <t>Jeff Manders</t>
  </si>
  <si>
    <t>02-HM-419-731</t>
  </si>
  <si>
    <t>WOODLAND AVE BRICKSTONE APTS</t>
  </si>
  <si>
    <t>Perennial Property Management Services LLC</t>
  </si>
  <si>
    <t>Ryan Galloway</t>
  </si>
  <si>
    <t>Woodland Avenue Partners LP</t>
  </si>
  <si>
    <t>02-HM-420-721</t>
  </si>
  <si>
    <t>SUMMIT HOUSE</t>
  </si>
  <si>
    <t>CRESTON</t>
  </si>
  <si>
    <t>Union</t>
  </si>
  <si>
    <t>Premier Real Estate Management LLC</t>
  </si>
  <si>
    <t>Casey Duffey</t>
  </si>
  <si>
    <t>Premier Summit House IA, LLC</t>
  </si>
  <si>
    <t>02-HM-421-731</t>
  </si>
  <si>
    <t>PEBBLE CREEK APTS PHASE II</t>
  </si>
  <si>
    <t>Premier Pebble Creek II IA, LLC</t>
  </si>
  <si>
    <t>02-HM-422-721</t>
  </si>
  <si>
    <t>STOKES MANOR</t>
  </si>
  <si>
    <t>WC Stokes Estates Inc</t>
  </si>
  <si>
    <t>La Tonya Stokes</t>
  </si>
  <si>
    <t>Highland Park LP</t>
  </si>
  <si>
    <t>02-HM-223-721</t>
  </si>
  <si>
    <t>WILLIAM B QUARTON PLACE</t>
  </si>
  <si>
    <t>Affordable Housing Network Inc.</t>
  </si>
  <si>
    <t>Kim Eiller</t>
  </si>
  <si>
    <t>Harbet Avenue Limited Partnership</t>
  </si>
  <si>
    <t>Scott Krchak</t>
  </si>
  <si>
    <t>02-HM-425-721</t>
  </si>
  <si>
    <t>SCOTT MEADOWS</t>
  </si>
  <si>
    <t>MARION</t>
  </si>
  <si>
    <t>Seldin Management Company</t>
  </si>
  <si>
    <t>Morgan Jones</t>
  </si>
  <si>
    <t>Scott Meadows Senior Housing LP</t>
  </si>
  <si>
    <t>Richard Grimm</t>
  </si>
  <si>
    <t>Marion</t>
  </si>
  <si>
    <t>02-HM-428-731</t>
  </si>
  <si>
    <t>HICKORY GROVE APTS</t>
  </si>
  <si>
    <t>DM Hickory Grove LLLP</t>
  </si>
  <si>
    <t>Barbara Kaarlie</t>
  </si>
  <si>
    <t>02-HM-429-721</t>
  </si>
  <si>
    <t>MAPLE LANE APTS</t>
  </si>
  <si>
    <t>DM Maple Lane LLLP</t>
  </si>
  <si>
    <t>CHAPELRIDGE AT JOHNSTON</t>
  </si>
  <si>
    <t>JOHNSTON</t>
  </si>
  <si>
    <t>Jenny Clayton</t>
  </si>
  <si>
    <t>Brisben Johnston Commons LP</t>
  </si>
  <si>
    <t>Robert Dean</t>
  </si>
  <si>
    <t>WINDSOR POINTE</t>
  </si>
  <si>
    <t>AMES</t>
  </si>
  <si>
    <t>Story</t>
  </si>
  <si>
    <t>TWG Management LLC</t>
  </si>
  <si>
    <t>Timika Johnson</t>
  </si>
  <si>
    <t>Windsor TWG, LP</t>
  </si>
  <si>
    <t>Colleen Winship</t>
  </si>
  <si>
    <t>02-HM-260-731</t>
  </si>
  <si>
    <t>02-HM-344-35</t>
  </si>
  <si>
    <t>THE SALVATION ARMY</t>
  </si>
  <si>
    <t>The Salvation Army</t>
  </si>
  <si>
    <t>Grace Fee</t>
  </si>
  <si>
    <t>02-HM-487-721</t>
  </si>
  <si>
    <t>CEDAR CREST II LP</t>
  </si>
  <si>
    <t>CHARLES CITY</t>
  </si>
  <si>
    <t>Floyd</t>
  </si>
  <si>
    <t>Cedar Crest II LP</t>
  </si>
  <si>
    <t>DEER RIDGE III APARTMENTS</t>
  </si>
  <si>
    <t>Deer Ridge III LP</t>
  </si>
  <si>
    <t>PARKSIDE EAST III APARTMENTS</t>
  </si>
  <si>
    <t>Parkside East III LP</t>
  </si>
  <si>
    <t>MARYCREST</t>
  </si>
  <si>
    <t>Davenport Housing II LP</t>
  </si>
  <si>
    <t>03-HM-411-721</t>
  </si>
  <si>
    <t>PRIME LIVING APARTMENTS</t>
  </si>
  <si>
    <t>LE MARS</t>
  </si>
  <si>
    <t>Plymouth</t>
  </si>
  <si>
    <t>Prime Agency LLC</t>
  </si>
  <si>
    <t>LMAAL LLLP</t>
  </si>
  <si>
    <t>GRANT VILLAGE</t>
  </si>
  <si>
    <t>Cardinal Capital Management Inc</t>
  </si>
  <si>
    <t>Kelli Cogdill</t>
  </si>
  <si>
    <t>CCM-Mason City, LLC</t>
  </si>
  <si>
    <t>Erich Schwenker</t>
  </si>
  <si>
    <t>03-HM-221-731</t>
  </si>
  <si>
    <t>COBBLESTONE TERRACE</t>
  </si>
  <si>
    <t>Premier Housing Management LLC</t>
  </si>
  <si>
    <t>Rebecca Will</t>
  </si>
  <si>
    <t>Cobblestone Terrace LLLP</t>
  </si>
  <si>
    <t>Richard Hutsell</t>
  </si>
  <si>
    <t>03-HM-222-20</t>
  </si>
  <si>
    <t>COBBLESTONE PLACE</t>
  </si>
  <si>
    <t>Cobblestone Place LLLP</t>
  </si>
  <si>
    <t>03-HMS-423-731</t>
  </si>
  <si>
    <t>EVERGREEN MEADOWS APARTMENTS</t>
  </si>
  <si>
    <t>PEOSTA</t>
  </si>
  <si>
    <t>Eastern Iowa Regional Housing Authority</t>
  </si>
  <si>
    <t>Mindy Wiley</t>
  </si>
  <si>
    <t>Eastern Iowa Regional Partnership LLLP</t>
  </si>
  <si>
    <t>Kelley Deutmeyer</t>
  </si>
  <si>
    <t>03-HM-424-731</t>
  </si>
  <si>
    <t>THE MEADOWS</t>
  </si>
  <si>
    <t>DM Meadows LLLP</t>
  </si>
  <si>
    <t>03-HM-425-731</t>
  </si>
  <si>
    <t>WESTOWN APARTMENTS</t>
  </si>
  <si>
    <t>Mtown Westown LLLP</t>
  </si>
  <si>
    <t>James Clark</t>
  </si>
  <si>
    <t>03-HM-426-731</t>
  </si>
  <si>
    <t>LINDEN APARTMENTS</t>
  </si>
  <si>
    <t>BN/Linden LLLP</t>
  </si>
  <si>
    <t>Carrie Peet</t>
  </si>
  <si>
    <t>03-HM-231-731</t>
  </si>
  <si>
    <t>PRAIRIE TOWNHOMES</t>
  </si>
  <si>
    <t>OTTUMWA</t>
  </si>
  <si>
    <t>Wapello</t>
  </si>
  <si>
    <t>Prairie Townhomes LP</t>
  </si>
  <si>
    <t>03-HM-434-731</t>
  </si>
  <si>
    <t>OAK TERRACE</t>
  </si>
  <si>
    <t>Oak Terrance Limited Partnership</t>
  </si>
  <si>
    <t>03-HM-435-721</t>
  </si>
  <si>
    <t>KENNEDY POINT</t>
  </si>
  <si>
    <t>Kennedy Point Limited Partnership</t>
  </si>
  <si>
    <t>Allen Ward</t>
  </si>
  <si>
    <t>THE ROSE OF AMES</t>
  </si>
  <si>
    <t>EverGreen Real Estate Devlopment Corp</t>
  </si>
  <si>
    <t>Gregory McClenahan</t>
  </si>
  <si>
    <t>The Rose of Ames Limited Partnership</t>
  </si>
  <si>
    <t>DAVENPORT LOFTS</t>
  </si>
  <si>
    <t>Optimum Real Estate Management</t>
  </si>
  <si>
    <t>Tina Smothers</t>
  </si>
  <si>
    <t>ABG Davenport Lofts LLC</t>
  </si>
  <si>
    <t>Mike Perry</t>
  </si>
  <si>
    <t>01-HM-424-731</t>
  </si>
  <si>
    <t>SAVANNAH VILLAGE</t>
  </si>
  <si>
    <t>NORTH LIBERTY</t>
  </si>
  <si>
    <t>Savannah Village LP</t>
  </si>
  <si>
    <t>CHAPELRIDGE OF MARION</t>
  </si>
  <si>
    <t>ChapelRidge of Cedar Rapids LP</t>
  </si>
  <si>
    <t>CHAPELRIDGE OF COUNCIL BLUFFS</t>
  </si>
  <si>
    <t>ChapelRidge of Council Bluffs Limited Partnership</t>
  </si>
  <si>
    <t>03-HM-451-721</t>
  </si>
  <si>
    <t>RIDGEVIEW (BELLEVUE IHA)</t>
  </si>
  <si>
    <t>BELLEVUE</t>
  </si>
  <si>
    <t>Jackson</t>
  </si>
  <si>
    <t>Bellevuew IHA Limited Partnership</t>
  </si>
  <si>
    <t>UPPER MAIN REVITALIZATION PROJECT</t>
  </si>
  <si>
    <t>Cheryl Schromen</t>
  </si>
  <si>
    <t>Gronen Adaptive Reuse LLLP</t>
  </si>
  <si>
    <t>Mary Gronen</t>
  </si>
  <si>
    <t>04-HM-202-721</t>
  </si>
  <si>
    <t>VERA FRENCH TERRACE</t>
  </si>
  <si>
    <t>DLB LLLP</t>
  </si>
  <si>
    <t>MARYCREST SENIOR CAMPUS III</t>
  </si>
  <si>
    <t>Davenport Housing IV LP</t>
  </si>
  <si>
    <t>MARYCREST SENIOR CAMPUS II</t>
  </si>
  <si>
    <t>Marycrest Housing LC</t>
  </si>
  <si>
    <t>04-HM-412-21</t>
  </si>
  <si>
    <t>ROOSEVELT SENIOR RESIDENCES</t>
  </si>
  <si>
    <t>Roosevelt Housing Partners LLC</t>
  </si>
  <si>
    <t>04-HM-222-731</t>
  </si>
  <si>
    <t>THE GABLES</t>
  </si>
  <si>
    <t>Quarton Place 2 Limited Partnership</t>
  </si>
  <si>
    <t>04-HM-123-721</t>
  </si>
  <si>
    <t>THE ROSE OF DES MOINES</t>
  </si>
  <si>
    <t>The Rose of Des Moines LP</t>
  </si>
  <si>
    <t>CEDAR PARK APARTMENTS</t>
  </si>
  <si>
    <t>MUSCATINE</t>
  </si>
  <si>
    <t>Muscatine</t>
  </si>
  <si>
    <t>Darwin Lynner Company, Inc</t>
  </si>
  <si>
    <t>Eric Lynner</t>
  </si>
  <si>
    <t>Cedar Park Preservation LP</t>
  </si>
  <si>
    <t>04-HM-428-21</t>
  </si>
  <si>
    <t>HOTEL IOWA</t>
  </si>
  <si>
    <t>Historic Hotel Iowa LLLP</t>
  </si>
  <si>
    <t>Kevin Kuckelman</t>
  </si>
  <si>
    <t>04-HM-130-731</t>
  </si>
  <si>
    <t>EAST VILLAGE SQUARE APARTMENTS</t>
  </si>
  <si>
    <t>East Village Square Apartments LP</t>
  </si>
  <si>
    <t>WALDEN POINT</t>
  </si>
  <si>
    <t>Walden Point Limited Partnership</t>
  </si>
  <si>
    <t>04-HM-238-721</t>
  </si>
  <si>
    <t>VAN FOSSEN SQUARE (ADEL ASSIST. LIVING)</t>
  </si>
  <si>
    <t>ADEL</t>
  </si>
  <si>
    <t>Adel Assisted Living Apartments LP</t>
  </si>
  <si>
    <t>04-HM-239-21</t>
  </si>
  <si>
    <t>CLINTON BLOCK</t>
  </si>
  <si>
    <t>Clinton Block LP (fka Howes Armstrong LP)</t>
  </si>
  <si>
    <t>04-HM-240-721</t>
  </si>
  <si>
    <t>HAMILTON KNOLLS</t>
  </si>
  <si>
    <t>WEBSTER CITY</t>
  </si>
  <si>
    <t>Hamilton</t>
  </si>
  <si>
    <t>Hamilton Knolls LP</t>
  </si>
  <si>
    <t>04-HM-242-721</t>
  </si>
  <si>
    <t>REMCARES TOWNHOMES</t>
  </si>
  <si>
    <t>MOUNT VERNON</t>
  </si>
  <si>
    <t>REMcares Townhomes LP</t>
  </si>
  <si>
    <t>04-HM-443-721</t>
  </si>
  <si>
    <t>LAKE PLAZA APARTMENTS PHASE I</t>
  </si>
  <si>
    <t>CLEAR LAKE</t>
  </si>
  <si>
    <t>Premier Lake Plaza I IA, LLC</t>
  </si>
  <si>
    <t>EMERALD HILL APARTMENTS</t>
  </si>
  <si>
    <t>Premier Emerald Hills IA, LLC</t>
  </si>
  <si>
    <t>PARK RUN APARTMENTS</t>
  </si>
  <si>
    <t>LE CLAIRE</t>
  </si>
  <si>
    <t>Premier Le Claire IA, LLC</t>
  </si>
  <si>
    <t>HUBBELL TOWER APARTMENTS</t>
  </si>
  <si>
    <t>Hubbell Property Management</t>
  </si>
  <si>
    <t>Darcy Valline</t>
  </si>
  <si>
    <t>Hubbell Tower LP</t>
  </si>
  <si>
    <t>Jim Weber</t>
  </si>
  <si>
    <t>COURT AVENUE LOFTS</t>
  </si>
  <si>
    <t>Court Avenue Partners I LP</t>
  </si>
  <si>
    <t>01-HM-119-731</t>
  </si>
  <si>
    <t>VINE STREET LOFTS</t>
  </si>
  <si>
    <t>Sherman Associates, Inc</t>
  </si>
  <si>
    <t>Janelle Luxem</t>
  </si>
  <si>
    <t>Vine Street LP</t>
  </si>
  <si>
    <t>George Sherman</t>
  </si>
  <si>
    <t>04-HM-453-20</t>
  </si>
  <si>
    <t>TOWN VIEW APARTMENTS</t>
  </si>
  <si>
    <t>Oakleaf Property Management</t>
  </si>
  <si>
    <t>George Wakemam</t>
  </si>
  <si>
    <t>Town View Partners LP</t>
  </si>
  <si>
    <t>Michael Crane</t>
  </si>
  <si>
    <t>04-HM-452-20</t>
  </si>
  <si>
    <t>CENTENNIAL MANOR PARTNERS LP</t>
  </si>
  <si>
    <t>Centennial Manor Partners LP</t>
  </si>
  <si>
    <t>04-HM-248-731</t>
  </si>
  <si>
    <t>THE HOUSING FELLOWSHIP LONGFELLOW MANOR</t>
  </si>
  <si>
    <t>04-HM-454-731</t>
  </si>
  <si>
    <t>DAVIS PLACE</t>
  </si>
  <si>
    <t>Davis Place LLC</t>
  </si>
  <si>
    <t>Dawn Potter</t>
  </si>
  <si>
    <t>Justin Potter</t>
  </si>
  <si>
    <t>PARKSIDE EAST IV APARTMENTS</t>
  </si>
  <si>
    <t>Parkside East IV Limited Partnership</t>
  </si>
  <si>
    <t>CANTERBURY PARK II APARTMENTS</t>
  </si>
  <si>
    <t>PLEASANT HILL</t>
  </si>
  <si>
    <t>DEER RIDGE IV APARTMENTS</t>
  </si>
  <si>
    <t>Deer Ridge IV LP</t>
  </si>
  <si>
    <t>WINDFIELD WEST III APARTMENTS</t>
  </si>
  <si>
    <t>Windfield West III Limited Partnership</t>
  </si>
  <si>
    <t>05-HM-405-731</t>
  </si>
  <si>
    <t>ASBURY MEADOWS APARTMENTS</t>
  </si>
  <si>
    <t>ASBURY</t>
  </si>
  <si>
    <t>Asbury EIRP LLLP</t>
  </si>
  <si>
    <t>05-HM-214-28</t>
  </si>
  <si>
    <t>FRANCIS HOUSING LLLP</t>
  </si>
  <si>
    <t>Davenport Real Estate Holdings LLC</t>
  </si>
  <si>
    <t>HURST APARTMENTS PHASE II</t>
  </si>
  <si>
    <t>MAQUOKETA</t>
  </si>
  <si>
    <t>Maquoketa Housing II LP</t>
  </si>
  <si>
    <t>MEADOW CREST PHASE II</t>
  </si>
  <si>
    <t>Davenport Housing V LP</t>
  </si>
  <si>
    <t>WELCH APARTMENTS</t>
  </si>
  <si>
    <t>Welch Hotel LP</t>
  </si>
  <si>
    <t>05-HM-218-731</t>
  </si>
  <si>
    <t>WHISPERING GARDEN</t>
  </si>
  <si>
    <t>Whispering Garden IHA Limited Partnership</t>
  </si>
  <si>
    <t>05-HM-419-721</t>
  </si>
  <si>
    <t>FULTON PLACE</t>
  </si>
  <si>
    <t>Fulton Place Limited Partnership</t>
  </si>
  <si>
    <t>John Eichelberger</t>
  </si>
  <si>
    <t>05-HM-420-721</t>
  </si>
  <si>
    <t>JACKSON POINT</t>
  </si>
  <si>
    <t>FAIRFIELD</t>
  </si>
  <si>
    <t>Jefferson</t>
  </si>
  <si>
    <t>Jackson Point Limited Partnership</t>
  </si>
  <si>
    <t>Richard Reed</t>
  </si>
  <si>
    <t>NORTHPARK APARTMENTS</t>
  </si>
  <si>
    <t>STORM LAKE</t>
  </si>
  <si>
    <t>Buena Vista</t>
  </si>
  <si>
    <t>Northpark Apartments LLLP</t>
  </si>
  <si>
    <t>Ann Burge</t>
  </si>
  <si>
    <t>05-HM-427-721</t>
  </si>
  <si>
    <t>SCAAL LLLP</t>
  </si>
  <si>
    <t>LAKE PLAZA APARTMENTS PHASE II</t>
  </si>
  <si>
    <t>Premier Lake Plaza II IA, LLC</t>
  </si>
  <si>
    <t>MARKETPLACE LOFTS</t>
  </si>
  <si>
    <t>Court Avenue Partners II LP</t>
  </si>
  <si>
    <t>05-HM-232-29</t>
  </si>
  <si>
    <t>WASHINGTON COURT (DUBUQUE)</t>
  </si>
  <si>
    <t>Washington Court LP</t>
  </si>
  <si>
    <t>05-HM-233-29</t>
  </si>
  <si>
    <t>ARMSTRONG APARTMENTS</t>
  </si>
  <si>
    <t>Armstrong Apartments LP</t>
  </si>
  <si>
    <t>SIEG IRON LOFTS</t>
  </si>
  <si>
    <t>ABG Sieg Iron Lofts LLC</t>
  </si>
  <si>
    <t>05-HM-235-731</t>
  </si>
  <si>
    <t>SALISBURY COURT APTS</t>
  </si>
  <si>
    <t>Salisbury Court LP</t>
  </si>
  <si>
    <t>05-HM-236-29</t>
  </si>
  <si>
    <t>ANTLERS APTS</t>
  </si>
  <si>
    <t>The Antlers LP</t>
  </si>
  <si>
    <t>MISSISSIPPI LOFTS</t>
  </si>
  <si>
    <t>Mississippi Housing Partners LP</t>
  </si>
  <si>
    <t>05-HM-194-35</t>
  </si>
  <si>
    <t>FT DODGE HSG TRANSITIONAL</t>
  </si>
  <si>
    <t>05-HM-198-1014</t>
  </si>
  <si>
    <t>05-HM-198-22</t>
  </si>
  <si>
    <t>1014 CITY FT MADISON</t>
  </si>
  <si>
    <t>FORT MADISON</t>
  </si>
  <si>
    <t>City of Fort Madison</t>
  </si>
  <si>
    <t>Melinda Blind</t>
  </si>
  <si>
    <t>MM Real Estate LLC</t>
  </si>
  <si>
    <t>Michael Mohrfeld</t>
  </si>
  <si>
    <t>05-HM-198-509</t>
  </si>
  <si>
    <t>509 CITY FT MADISON</t>
  </si>
  <si>
    <t>Todd Schneider</t>
  </si>
  <si>
    <t>05-HM-198-833</t>
  </si>
  <si>
    <t>833 CITY FT MADISON</t>
  </si>
  <si>
    <t>Deidre Hunold</t>
  </si>
  <si>
    <t>John Hunold</t>
  </si>
  <si>
    <t>05-HM-296-721</t>
  </si>
  <si>
    <t>NORTHEAST IOWA COMMUNITY ACTION CORP</t>
  </si>
  <si>
    <t>Trisha Wilkins</t>
  </si>
  <si>
    <t>05-HM-499-22401</t>
  </si>
  <si>
    <t>05-HM-499-22</t>
  </si>
  <si>
    <t>401 BURLINGTON DOWNTOWN PARTNERS</t>
  </si>
  <si>
    <t>Downtown Partners Inc</t>
  </si>
  <si>
    <t>Belinda Colwell</t>
  </si>
  <si>
    <t>Hilltop Properties of Burlington</t>
  </si>
  <si>
    <t>Becky Anderson</t>
  </si>
  <si>
    <t>05-HM-499-22511</t>
  </si>
  <si>
    <t>511 BURLINGTON DOWNTOWN PARTNERS</t>
  </si>
  <si>
    <t>Francis Jackson</t>
  </si>
  <si>
    <t>Frances Jackson</t>
  </si>
  <si>
    <t>05-HM-499-22603</t>
  </si>
  <si>
    <t>603 BURLINGTON DOWNTOWN PARTNERS</t>
  </si>
  <si>
    <t>Joshua/Jennife Caston</t>
  </si>
  <si>
    <t>Joshua Caston</t>
  </si>
  <si>
    <t>THE ROSE OF WATERLOO</t>
  </si>
  <si>
    <t>The Rose of Waterloo LP</t>
  </si>
  <si>
    <t>HAWTHORN HILL</t>
  </si>
  <si>
    <t>Chestnut Hills Limited Partnership</t>
  </si>
  <si>
    <t>06-HM-409-721</t>
  </si>
  <si>
    <t>THE WAY HOME</t>
  </si>
  <si>
    <t>ASAC Housing Corp</t>
  </si>
  <si>
    <t>Jeanette Archer-Simons</t>
  </si>
  <si>
    <t>06-HM-410-721</t>
  </si>
  <si>
    <t>NEW DIRECTIONS HOUSING</t>
  </si>
  <si>
    <t>Jeannette Archer-Simons</t>
  </si>
  <si>
    <t>06-HM-411-721</t>
  </si>
  <si>
    <t>JEFFERSON POINT I</t>
  </si>
  <si>
    <t>Jefferson Point Limited Partnership</t>
  </si>
  <si>
    <t>06-HM-412-721</t>
  </si>
  <si>
    <t>MELROSE RIDGE</t>
  </si>
  <si>
    <t>Johnson Co Permanent Supportive Housing LP</t>
  </si>
  <si>
    <t>Brenda Hollinger</t>
  </si>
  <si>
    <t>IRVING POINT</t>
  </si>
  <si>
    <t>Irving Point Limited Partnership</t>
  </si>
  <si>
    <t>HARRINGTON APARTMENTS</t>
  </si>
  <si>
    <t>Harrington I Limited Partnership</t>
  </si>
  <si>
    <t>PRIME SQUARE APARTMENTS</t>
  </si>
  <si>
    <t>CBIA LLLP</t>
  </si>
  <si>
    <t>John Grosenheider</t>
  </si>
  <si>
    <t>06-HM-420-721</t>
  </si>
  <si>
    <t>SANCTUARY APARTMENTS</t>
  </si>
  <si>
    <t>J and M Property Management</t>
  </si>
  <si>
    <t>Brandi Jorgensen</t>
  </si>
  <si>
    <t>Sanctuary Transitional Housing I LLLP</t>
  </si>
  <si>
    <t>Julie Enockson</t>
  </si>
  <si>
    <t>06-HM-121-20</t>
  </si>
  <si>
    <t>PIONEER WOODS</t>
  </si>
  <si>
    <t>Pioneer Woods LLC</t>
  </si>
  <si>
    <t>DUNLAP ASSISTED LIVING</t>
  </si>
  <si>
    <t>DUNLAP</t>
  </si>
  <si>
    <t>Harrison</t>
  </si>
  <si>
    <t>Care Initiatives</t>
  </si>
  <si>
    <t>Emily Crimmins</t>
  </si>
  <si>
    <t>Dunlap Assisted Living LLC</t>
  </si>
  <si>
    <t>Dave Dixon</t>
  </si>
  <si>
    <t>LAMONI ASSISTED LIVING</t>
  </si>
  <si>
    <t>LAMONI</t>
  </si>
  <si>
    <t>Decatur</t>
  </si>
  <si>
    <t>Lamoni Assisted Living LLC</t>
  </si>
  <si>
    <t>ODEBOLT ASSISTED LIVING</t>
  </si>
  <si>
    <t>ODEBOLT</t>
  </si>
  <si>
    <t>Sac</t>
  </si>
  <si>
    <t>Odebolt Assisted Living LLC</t>
  </si>
  <si>
    <t>PANORA ASSISTED LIVING</t>
  </si>
  <si>
    <t>PANORA</t>
  </si>
  <si>
    <t>Guthrie</t>
  </si>
  <si>
    <t>Panora Assisted Living LLC</t>
  </si>
  <si>
    <t>STONE RIDGE TOWNHOMES</t>
  </si>
  <si>
    <t>Stone Ridge Townhomes LLC</t>
  </si>
  <si>
    <t>Ryan Winter</t>
  </si>
  <si>
    <t>MARYCREST SENIOR CAMPUS IV</t>
  </si>
  <si>
    <t>Davenport Housing VII LP</t>
  </si>
  <si>
    <t>06-HM-440-721</t>
  </si>
  <si>
    <t>MEADOW HEIGHTS APARTMENTS</t>
  </si>
  <si>
    <t>Skyline Center Inc</t>
  </si>
  <si>
    <t>Paulette Lynch</t>
  </si>
  <si>
    <t>Skyline Center Service Enriched Housing I LLLP</t>
  </si>
  <si>
    <t>Michael Shane Buer</t>
  </si>
  <si>
    <t>06-HM-441-721</t>
  </si>
  <si>
    <t>COMMUNITY BASED SERVICES SE HOUSING PROJ</t>
  </si>
  <si>
    <t>WAVERLY</t>
  </si>
  <si>
    <t>Bremer</t>
  </si>
  <si>
    <t>Community Based Services Service Enriched I LLLP</t>
  </si>
  <si>
    <t>Sue Lahr</t>
  </si>
  <si>
    <t>Tim Neil</t>
  </si>
  <si>
    <t>06-HM-442-721</t>
  </si>
  <si>
    <t>HUMBOLDT WORKSHOP SE PROJECT</t>
  </si>
  <si>
    <t>HUMBOLDT</t>
  </si>
  <si>
    <t>Humboldt</t>
  </si>
  <si>
    <t>Humboldt Workshop SE Housing Project I LLLP</t>
  </si>
  <si>
    <t>06-HM-447-721</t>
  </si>
  <si>
    <t>NEW VISIONS CENTER</t>
  </si>
  <si>
    <t>New Visions Homeless Services</t>
  </si>
  <si>
    <t>Stephanie Wallar</t>
  </si>
  <si>
    <t>Council Bluffs Housing for the Homeless LLC</t>
  </si>
  <si>
    <t>Brandy Waller</t>
  </si>
  <si>
    <t>SPRING VILLAGE APARTMENTS</t>
  </si>
  <si>
    <t>Spring Village Apartments of Iowa LLC</t>
  </si>
  <si>
    <t>SPRUCE HILLS VILLAGE</t>
  </si>
  <si>
    <t>BETTENDORF</t>
  </si>
  <si>
    <t>Spruce Hills Village LLC</t>
  </si>
  <si>
    <t>COUNTRY CLUB VILLAGE PROJECT</t>
  </si>
  <si>
    <t>R&amp;R Investors d/b/a Management Professionals, Inc.</t>
  </si>
  <si>
    <t>Chad Holtey</t>
  </si>
  <si>
    <t>CCV I LLC</t>
  </si>
  <si>
    <t>Steven Gaer</t>
  </si>
  <si>
    <t>06-HM-416-721</t>
  </si>
  <si>
    <t>FRESH START HOUSING LLC</t>
  </si>
  <si>
    <t>Manasseh House (dba Operation Empower)</t>
  </si>
  <si>
    <t>Kimberly Terry</t>
  </si>
  <si>
    <t>Fresh Start Housing LLC</t>
  </si>
  <si>
    <t>Michelle Mihalakis</t>
  </si>
  <si>
    <t>07-HM-201-731</t>
  </si>
  <si>
    <t>CRESTON PLAZA APTS II</t>
  </si>
  <si>
    <t>Community Housing Ministry</t>
  </si>
  <si>
    <t>Tammy Gibson</t>
  </si>
  <si>
    <t>MBL Development Co</t>
  </si>
  <si>
    <t>Kim Lingle</t>
  </si>
  <si>
    <t>DEER RIDGE V APARTMENTS</t>
  </si>
  <si>
    <t>CANTERBURY PARK III</t>
  </si>
  <si>
    <t>07-HM-410-721</t>
  </si>
  <si>
    <t>TOWN SQUARE APARTMENTS</t>
  </si>
  <si>
    <t>Amanda Slife</t>
  </si>
  <si>
    <t>Northwoods Limited Partnership 1</t>
  </si>
  <si>
    <t>Rob McCready</t>
  </si>
  <si>
    <t>BERRY COURT</t>
  </si>
  <si>
    <t>Berry Court Limited Partnership</t>
  </si>
  <si>
    <t>07-HM-412-721</t>
  </si>
  <si>
    <t>CEDAR MANOR APARTMENTS II</t>
  </si>
  <si>
    <t>T &amp; L Properties</t>
  </si>
  <si>
    <t>Ted Oswald</t>
  </si>
  <si>
    <t>Boone 2 Limited Partnership</t>
  </si>
  <si>
    <t>RIVERWALK LOFTS</t>
  </si>
  <si>
    <t>MDI Limited Partnership 56</t>
  </si>
  <si>
    <t>THE ROSE OF EAST DES MOINES</t>
  </si>
  <si>
    <t>The Rose of East Des Moines LP</t>
  </si>
  <si>
    <t>07-HM-418-721</t>
  </si>
  <si>
    <t>JEFFERSON POINT II</t>
  </si>
  <si>
    <t>Jefferson Point II Limited Partnership</t>
  </si>
  <si>
    <t>STOCKBRIDGE APARTMENTS</t>
  </si>
  <si>
    <t>Stockbridge LP</t>
  </si>
  <si>
    <t>SOUTH VIEW SENIOR APTS I</t>
  </si>
  <si>
    <t>The Family Company</t>
  </si>
  <si>
    <t>Paula MacArthur</t>
  </si>
  <si>
    <t>Southview Senior Apartments LLLP</t>
  </si>
  <si>
    <t>Tim Mauro</t>
  </si>
  <si>
    <t>COMMUNITY HOMES</t>
  </si>
  <si>
    <t>Community Homes LP</t>
  </si>
  <si>
    <t>HEARTLAND HOMES</t>
  </si>
  <si>
    <t>Heartland Family Service</t>
  </si>
  <si>
    <t>Abby Showers</t>
  </si>
  <si>
    <t>HFS Council Bluffs LLC</t>
  </si>
  <si>
    <t>Mindy Paces</t>
  </si>
  <si>
    <t>FAIRMONT PINES (FKA HORIZON HOMES)</t>
  </si>
  <si>
    <t>Newbury Management Company d/b/a Newbury Living</t>
  </si>
  <si>
    <t>Frank Levy</t>
  </si>
  <si>
    <t>Horizon Homes Associates, LP</t>
  </si>
  <si>
    <t>James Richardson</t>
  </si>
  <si>
    <t>CROSS CREEK APARTMENTS PHASE I</t>
  </si>
  <si>
    <t>Pedcor Management Corp</t>
  </si>
  <si>
    <t>Lela Murch</t>
  </si>
  <si>
    <t>Pedcor Investments 2006 LXXXIX LLC</t>
  </si>
  <si>
    <t>Phillip J Stoffregen</t>
  </si>
  <si>
    <t>OAKVIEW TERRACE APARTMENTS</t>
  </si>
  <si>
    <t>ST. MARY'S APARTMENTS</t>
  </si>
  <si>
    <t>St. Mary's Apartments of Dubuque LLC</t>
  </si>
  <si>
    <t>HILLSIDE PARK</t>
  </si>
  <si>
    <t>Dominium Management Services LLC</t>
  </si>
  <si>
    <t>Jen Brewerton</t>
  </si>
  <si>
    <t>Sioux City Leased Housing Associates I LP</t>
  </si>
  <si>
    <t>Mark Moorhouse</t>
  </si>
  <si>
    <t>07-HM-101-822</t>
  </si>
  <si>
    <t>07-HM-101-731</t>
  </si>
  <si>
    <t>822 826 CITY FT MADISON</t>
  </si>
  <si>
    <t>Jared Sperber</t>
  </si>
  <si>
    <t>07-HM-102-101</t>
  </si>
  <si>
    <t>07-HM-102-22</t>
  </si>
  <si>
    <t>101 CITY MT PLEASANT</t>
  </si>
  <si>
    <t>MOUNT PLEASANT</t>
  </si>
  <si>
    <t>Henry</t>
  </si>
  <si>
    <t>City of Mt Pleasant</t>
  </si>
  <si>
    <t>Brent Schleisman</t>
  </si>
  <si>
    <t>Gabriel Benitez</t>
  </si>
  <si>
    <t>07-HM-102-110</t>
  </si>
  <si>
    <t>110 CITY MT PLEASANT</t>
  </si>
  <si>
    <t>Roger Beckman</t>
  </si>
  <si>
    <t>07-HM-397-721</t>
  </si>
  <si>
    <t>SOLON COMMUNITY HOUSING CORP</t>
  </si>
  <si>
    <t>SOLON</t>
  </si>
  <si>
    <t>Zimmerman Buildings, Inc</t>
  </si>
  <si>
    <t>Donna Zimmerman</t>
  </si>
  <si>
    <t>Solon Community Housing Corp.</t>
  </si>
  <si>
    <t>Allen Phillips</t>
  </si>
  <si>
    <t>07-HM-400-731</t>
  </si>
  <si>
    <t>COMMON GROUND DUPLEXES LLC</t>
  </si>
  <si>
    <t>ST. ANSGAR</t>
  </si>
  <si>
    <t>Mitchell</t>
  </si>
  <si>
    <t>Kolbet Realtors</t>
  </si>
  <si>
    <t>Kevin Kolbet</t>
  </si>
  <si>
    <t>Common Ground Duplexes</t>
  </si>
  <si>
    <t>Roger Mayer</t>
  </si>
  <si>
    <t>07-HM-403-731</t>
  </si>
  <si>
    <t>BISHOP TERRACE (JAM DEVELOPMENT LLC)</t>
  </si>
  <si>
    <t>STATE CENTER</t>
  </si>
  <si>
    <t>JAM Development LLC</t>
  </si>
  <si>
    <t>Jeff Merrill</t>
  </si>
  <si>
    <t>07-HM-405-721</t>
  </si>
  <si>
    <t>KNOXVILLE IHA SENIOR HOUSING LP</t>
  </si>
  <si>
    <t>KNOXVILLE</t>
  </si>
  <si>
    <t>Knoxville IHA Senior Housing LP</t>
  </si>
  <si>
    <t>07-HM-499-35</t>
  </si>
  <si>
    <t>DAVIS PLACE LLC</t>
  </si>
  <si>
    <t>CHAPEL RIDGE WEST I</t>
  </si>
  <si>
    <t>Chapel Ridge West I LP</t>
  </si>
  <si>
    <t>WILLOW BEND II APARTMENTS</t>
  </si>
  <si>
    <t>Willow Bend II Limited Partnership</t>
  </si>
  <si>
    <t>DEER RIDGE VI APARTMENTS</t>
  </si>
  <si>
    <t>Deer Ridge VI Limited Partnership</t>
  </si>
  <si>
    <t>CANTERBURY PARK IV APARTMENTS</t>
  </si>
  <si>
    <t>Canterbury IV Limited Partnership</t>
  </si>
  <si>
    <t>08-HM-206-29</t>
  </si>
  <si>
    <t>GRANT TERRACE</t>
  </si>
  <si>
    <t>OSKALOOSA</t>
  </si>
  <si>
    <t>Mahaska</t>
  </si>
  <si>
    <t>Grant Terrace LLLP</t>
  </si>
  <si>
    <t>08-HM-207-29</t>
  </si>
  <si>
    <t>LINCOLN TERRACE</t>
  </si>
  <si>
    <t>Lincoln Terrace LP</t>
  </si>
  <si>
    <t>HARVESTER ARTIST LOFTS</t>
  </si>
  <si>
    <t>Harvester Artist Lofts LP</t>
  </si>
  <si>
    <t>Greg Foley</t>
  </si>
  <si>
    <t>CROSS CREEK APARTMENTS PHASE II</t>
  </si>
  <si>
    <t>Pedcor Investments 2008 CXVII LLC</t>
  </si>
  <si>
    <t>WHISPER RIDGE</t>
  </si>
  <si>
    <t>Pedcor Investments 2008 CXIII LLC</t>
  </si>
  <si>
    <t>09-HM-196-28</t>
  </si>
  <si>
    <t>HOMES OF OAKRIDGE PHASE I</t>
  </si>
  <si>
    <t>Homes of Oakridge Human Services Inc.</t>
  </si>
  <si>
    <t>Teree Caldwell-Johnson</t>
  </si>
  <si>
    <t>Oakridge Neighborhood Assoc LP</t>
  </si>
  <si>
    <t>Patricia Palmer</t>
  </si>
  <si>
    <t>09-HM-198-28</t>
  </si>
  <si>
    <t>HOMES OF OAKRIDGE PHASE II</t>
  </si>
  <si>
    <t>Oakridge Neighborhood Associates Phase II</t>
  </si>
  <si>
    <t>CHAPEL RIDGE WEST II</t>
  </si>
  <si>
    <t>Chapel Ridge West II LP</t>
  </si>
  <si>
    <t>WILLOW BEND I APARTMENTS</t>
  </si>
  <si>
    <t>Willow Bend, LP</t>
  </si>
  <si>
    <t>09-HM-212-731</t>
  </si>
  <si>
    <t>ANISTON VILLAGE</t>
  </si>
  <si>
    <t>Aniston Village LP</t>
  </si>
  <si>
    <t>Maryann Dennis</t>
  </si>
  <si>
    <t>09-HM-417-721</t>
  </si>
  <si>
    <t>CEDAR VIEW APARTMENTS</t>
  </si>
  <si>
    <t>Cedar View Apts LP</t>
  </si>
  <si>
    <t>THE ROOSEVELT</t>
  </si>
  <si>
    <t>SA Roosevelt LP</t>
  </si>
  <si>
    <t>METRO LOFTS</t>
  </si>
  <si>
    <t>SA Metro Lofts LP</t>
  </si>
  <si>
    <t>RUMELY LOFTS</t>
  </si>
  <si>
    <t>Rumely Lofts LP</t>
  </si>
  <si>
    <t>HOMETOWN HARBOR BETTENDORF</t>
  </si>
  <si>
    <t>JNB Hometown Harbor LLC</t>
  </si>
  <si>
    <t>MELBOURNE APARTMENTS I</t>
  </si>
  <si>
    <t>Vicky Ohrtman</t>
  </si>
  <si>
    <t>Melbourne Apartments LLLP</t>
  </si>
  <si>
    <t>08-HM-208-721</t>
  </si>
  <si>
    <t>LUNDBY TOWNHOMES</t>
  </si>
  <si>
    <t>Home to Stay LP</t>
  </si>
  <si>
    <t>08-HM-212-29</t>
  </si>
  <si>
    <t>SPENCER SCHOOL APTS</t>
  </si>
  <si>
    <t>Old Spencer School LLLP</t>
  </si>
  <si>
    <t>BROWN APARTMENTS</t>
  </si>
  <si>
    <t>Brown Apartments LP</t>
  </si>
  <si>
    <t>RD PRESERVATION II</t>
  </si>
  <si>
    <t>WINTERSET</t>
  </si>
  <si>
    <t>Madison</t>
  </si>
  <si>
    <t>RD Preservation II, LLLP</t>
  </si>
  <si>
    <t>WAHKONSA MANOR</t>
  </si>
  <si>
    <t>Shari L Miller</t>
  </si>
  <si>
    <t>Fort Dodge Leased Housing Associates I LP</t>
  </si>
  <si>
    <t>08-HM-422-21</t>
  </si>
  <si>
    <t>GREENWAY OF OSKALOOSA</t>
  </si>
  <si>
    <t>Newbury Development Company</t>
  </si>
  <si>
    <t>08-HM-423-721</t>
  </si>
  <si>
    <t>SALVIA HOUSE</t>
  </si>
  <si>
    <t>Salvia House LTD</t>
  </si>
  <si>
    <t>08-HM-429-22</t>
  </si>
  <si>
    <t>GREATER BANCROFT COMPANY</t>
  </si>
  <si>
    <t>BANCROFT</t>
  </si>
  <si>
    <t>Kossuth</t>
  </si>
  <si>
    <t>Greater Bancroft Company LC</t>
  </si>
  <si>
    <t>Amy Lowe</t>
  </si>
  <si>
    <t>Deb Doocy</t>
  </si>
  <si>
    <t>EASTWOOD APTS</t>
  </si>
  <si>
    <t>CHI Ames LLLP</t>
  </si>
  <si>
    <t>CRESTVIEW TERRACE</t>
  </si>
  <si>
    <t>Crestview Terrace LLLP</t>
  </si>
  <si>
    <t>09-HM-211-721</t>
  </si>
  <si>
    <t>VERA FRENCH HOLIDAY COURT</t>
  </si>
  <si>
    <t>Holiday Court LLLP</t>
  </si>
  <si>
    <t>09-HM-413-29</t>
  </si>
  <si>
    <t>LIBERTY MANOR</t>
  </si>
  <si>
    <t>Liberty Manor Apts of Waterloo LLC</t>
  </si>
  <si>
    <t>09-HM-414-731</t>
  </si>
  <si>
    <t>UNITY SQUARE TOWNHOMES</t>
  </si>
  <si>
    <t>CommonBond Communities</t>
  </si>
  <si>
    <t>Cecile Bedor</t>
  </si>
  <si>
    <t>East Waterloo Family Housing LLLP</t>
  </si>
  <si>
    <t>09-HM-416-29</t>
  </si>
  <si>
    <t>MURRAY APARTMENTS</t>
  </si>
  <si>
    <t>821 Jackson St LLLP</t>
  </si>
  <si>
    <t>James Johnson</t>
  </si>
  <si>
    <t>09-HM-425-731</t>
  </si>
  <si>
    <t>MLK BRICKSTONE I</t>
  </si>
  <si>
    <t>MLK Brickstone Dev LP</t>
  </si>
  <si>
    <t>OAK HILL JACKSON BRICKSTONE</t>
  </si>
  <si>
    <t>Oak Hill Jackson Brickstone LP</t>
  </si>
  <si>
    <t>THE TAYLOR RENAISSANCE</t>
  </si>
  <si>
    <t>Taylor Housing Parnters LLC</t>
  </si>
  <si>
    <t>THE PRESERVE AT CROSSROADS</t>
  </si>
  <si>
    <t>Buckingham Management LLC</t>
  </si>
  <si>
    <t>Justin Few</t>
  </si>
  <si>
    <t>Preserve at Crossroads LP</t>
  </si>
  <si>
    <t>Daren Scott</t>
  </si>
  <si>
    <t>HOMETOWN HARBOR WAUKEE</t>
  </si>
  <si>
    <t>JNB Hometown Harbor Waukee LP</t>
  </si>
  <si>
    <t>LAVERNE APARTMENTS</t>
  </si>
  <si>
    <t>Velair Property Management</t>
  </si>
  <si>
    <t>Terry Parker</t>
  </si>
  <si>
    <t>Laverne Apts LP</t>
  </si>
  <si>
    <t>Chris Stokka</t>
  </si>
  <si>
    <t>WESTPORT TERRACE</t>
  </si>
  <si>
    <t>Westport Terrace Apartments, LP</t>
  </si>
  <si>
    <t>09-HM-430-731</t>
  </si>
  <si>
    <t>CEDAR POND TOWNHOMES</t>
  </si>
  <si>
    <t>Cedar Pond Townhomes LP</t>
  </si>
  <si>
    <t>APPLEWOOD III</t>
  </si>
  <si>
    <t>Horizon Management Services Inc</t>
  </si>
  <si>
    <t>Becky Hildebrandt</t>
  </si>
  <si>
    <t>Dubuque Sr Housing IV LLC</t>
  </si>
  <si>
    <t>NORTH LIBERTY LIVING CENTER</t>
  </si>
  <si>
    <t>RCA North Liberty Center, LP</t>
  </si>
  <si>
    <t>THE ROSE OF COUNCIL BLUFFS</t>
  </si>
  <si>
    <t>The Rose of Council Bluffs LP</t>
  </si>
  <si>
    <t>YMCA SUPPORTIVE HOUSING</t>
  </si>
  <si>
    <t>YMCA Supportive Housing Campus</t>
  </si>
  <si>
    <t>Emily Osweiler</t>
  </si>
  <si>
    <t>Central Iowa Supportive Housing LLLP</t>
  </si>
  <si>
    <t>Leisha Barcus</t>
  </si>
  <si>
    <t>09-HM-253-731</t>
  </si>
  <si>
    <t>SUGAR CREEK BEND</t>
  </si>
  <si>
    <t>Sugar Creek Bend LLLP</t>
  </si>
  <si>
    <t>09-HM-455-731</t>
  </si>
  <si>
    <t>BLUFFS APT OF FT MADISON</t>
  </si>
  <si>
    <t>Bluffs Apartments of Fort Madison LP</t>
  </si>
  <si>
    <t>Linda Thurmond</t>
  </si>
  <si>
    <t>09-HM-456-22</t>
  </si>
  <si>
    <t>MEADOWS APTS OF NEVADA</t>
  </si>
  <si>
    <t>NEVADA</t>
  </si>
  <si>
    <t>Meadows Apts of Nevada LLC</t>
  </si>
  <si>
    <t>09-HM-409-731</t>
  </si>
  <si>
    <t>COMMON GROUND DUPLEXES</t>
  </si>
  <si>
    <t>OSAGE</t>
  </si>
  <si>
    <t>09-HM-412</t>
  </si>
  <si>
    <t>PAR LIVING</t>
  </si>
  <si>
    <t>APLINGTON</t>
  </si>
  <si>
    <t>Butler</t>
  </si>
  <si>
    <t>Rick Gibson</t>
  </si>
  <si>
    <t>EAST DES MOINES REHAB</t>
  </si>
  <si>
    <t>East Des Moines Refi LLLP</t>
  </si>
  <si>
    <t>10-HM-411-731</t>
  </si>
  <si>
    <t>SOUTH VIEW SENIOR APTS II</t>
  </si>
  <si>
    <t>South View Sr Apts II LLLP</t>
  </si>
  <si>
    <t>PARKWINDS</t>
  </si>
  <si>
    <t>Des Moines Leased Housing Associates X LP</t>
  </si>
  <si>
    <t>Paul Sween</t>
  </si>
  <si>
    <t>10-HM-414-721</t>
  </si>
  <si>
    <t>LEGACY MANOR OF WATERLOO</t>
  </si>
  <si>
    <t>Legacy Waterloo LP</t>
  </si>
  <si>
    <t>Daniel Tonnesen</t>
  </si>
  <si>
    <t>CROSSWINDS</t>
  </si>
  <si>
    <t>Des Moines Leased Housing Associates IX LP</t>
  </si>
  <si>
    <t>SOUTHWINDS</t>
  </si>
  <si>
    <t>Des Moines Leased Housing Associates VIII LP</t>
  </si>
  <si>
    <t>PRAIRIEWINDS</t>
  </si>
  <si>
    <t>Des Moines Leased Housing Associates VII LP</t>
  </si>
  <si>
    <t>10-HM-422-721</t>
  </si>
  <si>
    <t>FORT DES MOINES SR HOUSING</t>
  </si>
  <si>
    <t>Fort Des Moines Senior Housing LLLP</t>
  </si>
  <si>
    <t>Tom Akers</t>
  </si>
  <si>
    <t>10-HM-402-731</t>
  </si>
  <si>
    <t>MLK BRICKSTONE II</t>
  </si>
  <si>
    <t>MLK Brickstone II LP</t>
  </si>
  <si>
    <t>NORWALK &amp; GRIMES PARKS II</t>
  </si>
  <si>
    <t>NORWALK</t>
  </si>
  <si>
    <t>Warren</t>
  </si>
  <si>
    <t>RD GN LLLP</t>
  </si>
  <si>
    <t>SUNCREST VILLAGE</t>
  </si>
  <si>
    <t>NEWTON</t>
  </si>
  <si>
    <t>Jasper</t>
  </si>
  <si>
    <t>Newbury Suncrest Village LLC</t>
  </si>
  <si>
    <t>10-HM-434-28</t>
  </si>
  <si>
    <t>WALKER CORNERS (428 WALKER)</t>
  </si>
  <si>
    <t>WOODBINE</t>
  </si>
  <si>
    <t>Pryor Management LLC</t>
  </si>
  <si>
    <t>Aaron Pryor</t>
  </si>
  <si>
    <t>Walker Corners Limited Liability Company</t>
  </si>
  <si>
    <t>MEADOW VISTA SR VILLAS</t>
  </si>
  <si>
    <t>ALTOONA</t>
  </si>
  <si>
    <t>MVAH Management LLC</t>
  </si>
  <si>
    <t>Katherine Vance</t>
  </si>
  <si>
    <t>Meadow Vista Sr Villas LLC</t>
  </si>
  <si>
    <t>Brian McGeady</t>
  </si>
  <si>
    <t>CEDARBROOKE PLACE APTS</t>
  </si>
  <si>
    <t>Cedarbrooke Place I LLC</t>
  </si>
  <si>
    <t>RUSSELL LAMSON</t>
  </si>
  <si>
    <t>SA Russell Lamson Limited Partnership</t>
  </si>
  <si>
    <t>WAUKEE FAMILY HOUSING</t>
  </si>
  <si>
    <t>JNB Family Waukee LP</t>
  </si>
  <si>
    <t>10-HM-443-29</t>
  </si>
  <si>
    <t>WOODLAND WEST APTS</t>
  </si>
  <si>
    <t>Woodland West Associates LP</t>
  </si>
  <si>
    <t>DIAMOND SENIOR APARTMENTS OF DUBUQUE</t>
  </si>
  <si>
    <t>3 Diamond Development</t>
  </si>
  <si>
    <t>Ben Porush</t>
  </si>
  <si>
    <t>MEADOW VISTA PARKSIDE</t>
  </si>
  <si>
    <t>Meadow Vista Parkside LLC</t>
  </si>
  <si>
    <t>RIVERPOINT LOFTS</t>
  </si>
  <si>
    <t>Riverpoint Lofts, LLLP</t>
  </si>
  <si>
    <t>THE IOWANA</t>
  </si>
  <si>
    <t>Right Way Mgmt Services, LLC</t>
  </si>
  <si>
    <t>John Petersen</t>
  </si>
  <si>
    <t>Hotel Iowana LP</t>
  </si>
  <si>
    <t>MARION MANOR I</t>
  </si>
  <si>
    <t>IOWA FALLS</t>
  </si>
  <si>
    <t>Hardin</t>
  </si>
  <si>
    <t>Marion Manor Co Ltd.</t>
  </si>
  <si>
    <t>David Hill</t>
  </si>
  <si>
    <t>PRAIRIE VILLAGE OF ADEL</t>
  </si>
  <si>
    <t>RD Adel LLLP</t>
  </si>
  <si>
    <t>Paul Thoma</t>
  </si>
  <si>
    <t>AFTON PARK APTS CRESTON PARK APTS</t>
  </si>
  <si>
    <t>AFTON</t>
  </si>
  <si>
    <t>RD CG LLLP</t>
  </si>
  <si>
    <t>MARION MANOR II</t>
  </si>
  <si>
    <t>GREENWAY OF BURLINGTON</t>
  </si>
  <si>
    <t>Greenway of Burlington Assoc LP</t>
  </si>
  <si>
    <t>Kimber Myers Givner</t>
  </si>
  <si>
    <t>THUNDER RIDGE SENIOR APARTMENTS</t>
  </si>
  <si>
    <t>CEDAR FALLS</t>
  </si>
  <si>
    <t>Thunder Ridge Senior Apartments LLC</t>
  </si>
  <si>
    <t>MITCHELLVILLE PARK APTS</t>
  </si>
  <si>
    <t>MITCHELLVILLE</t>
  </si>
  <si>
    <t>RD Preservation IV LLLP</t>
  </si>
  <si>
    <t>MT PLEASANT PARK APTS</t>
  </si>
  <si>
    <t>RD Mount Pleasant Park LLLP</t>
  </si>
  <si>
    <t>NEVADA ELDERLY APTS</t>
  </si>
  <si>
    <t>RD Nevada, LLLP</t>
  </si>
  <si>
    <t>GOOD LIFE RETIREMENT CENTER</t>
  </si>
  <si>
    <t>RD Norwalk LLLP</t>
  </si>
  <si>
    <t>STATE CENTER PARK APARTMENTS</t>
  </si>
  <si>
    <t>RD State Center LLLP</t>
  </si>
  <si>
    <t>VILLAGE PARK/INDIANHEAD APTS</t>
  </si>
  <si>
    <t>TOLEDO</t>
  </si>
  <si>
    <t>RD Toledo, LLLP</t>
  </si>
  <si>
    <t>FB HARLAN</t>
  </si>
  <si>
    <t>HARLAN</t>
  </si>
  <si>
    <t>Shelby</t>
  </si>
  <si>
    <t>Weigand-Omega Mgmt Inc</t>
  </si>
  <si>
    <t>Pat Lickiss</t>
  </si>
  <si>
    <t>FB Harlan LP</t>
  </si>
  <si>
    <t>Shawn Foutch</t>
  </si>
  <si>
    <t>10-HM-406-721</t>
  </si>
  <si>
    <t>CHRIST THE KING SENIOR HOUSING</t>
  </si>
  <si>
    <t>Christ the King Senior Housing, LLLP</t>
  </si>
  <si>
    <t>Sue Clark</t>
  </si>
  <si>
    <t>COTTAGES AT JOHNSTON COMMONS</t>
  </si>
  <si>
    <t>CAJC Cottages LLLP</t>
  </si>
  <si>
    <t>10-HM-105-22</t>
  </si>
  <si>
    <t>Sherry Bertsch</t>
  </si>
  <si>
    <t>10-HM-212-21</t>
  </si>
  <si>
    <t>UPPER DES MOINES OPPORTUNITY INC</t>
  </si>
  <si>
    <t>Upper Des Moines Opportunity Inc</t>
  </si>
  <si>
    <t>Jamey Whitney</t>
  </si>
  <si>
    <t>10-HM-303-22400</t>
  </si>
  <si>
    <t>10-HM-303-22</t>
  </si>
  <si>
    <t>400 404 BURLINGTON DOWNTOWN PARTNERS</t>
  </si>
  <si>
    <t>Wilson Rentals</t>
  </si>
  <si>
    <t>Dennis Wilson</t>
  </si>
  <si>
    <t>10-HM-303-22413</t>
  </si>
  <si>
    <t>413 415 BURLINGTON DOWNTOWN PARTNERS</t>
  </si>
  <si>
    <t>David/Marcia Stiefel</t>
  </si>
  <si>
    <t>David/Marsha Steifel</t>
  </si>
  <si>
    <t>10-HM-303-22510</t>
  </si>
  <si>
    <t>510 BURLINGTON DOWNTOWN PARTNERS</t>
  </si>
  <si>
    <t>10-HM-303-22613</t>
  </si>
  <si>
    <t>613 BURLINGTON DOWNTOWN PARTNERS</t>
  </si>
  <si>
    <t>Troy Lietsch</t>
  </si>
  <si>
    <t>Tony Lietsch</t>
  </si>
  <si>
    <t>10-HM-311-29</t>
  </si>
  <si>
    <t>WILLOWAY HEIGHTS</t>
  </si>
  <si>
    <t>SUTHERLAND</t>
  </si>
  <si>
    <t>O'Brien</t>
  </si>
  <si>
    <t>Willoway Heights LLC</t>
  </si>
  <si>
    <t>Connie Cody</t>
  </si>
  <si>
    <t>Mark Cody</t>
  </si>
  <si>
    <t>FLETCHER ESTATES APARTMENT HOMES</t>
  </si>
  <si>
    <t>ANKENY</t>
  </si>
  <si>
    <t>Pedcor Investments-2011-CXXXVI, L.P.</t>
  </si>
  <si>
    <t>LEGACY MANOR OF CEDAR RAPIDS</t>
  </si>
  <si>
    <t>Legacy Cedar Rapids LP</t>
  </si>
  <si>
    <t>THOMAS SQUARE AT GRIMES</t>
  </si>
  <si>
    <t>GRIMES</t>
  </si>
  <si>
    <t>Dovetail Family Housing LP</t>
  </si>
  <si>
    <t>FOREST AND FIELDS</t>
  </si>
  <si>
    <t>CORNERSTONE COMMONS</t>
  </si>
  <si>
    <t>Syncromatic Management, LLC</t>
  </si>
  <si>
    <t>Jenni Yeagley</t>
  </si>
  <si>
    <t>Cornerstone Commons LLC</t>
  </si>
  <si>
    <t>Kristi Morgan</t>
  </si>
  <si>
    <t>THE JACKSON RENAISSANCE</t>
  </si>
  <si>
    <t>Jackson Housing Partners LLC</t>
  </si>
  <si>
    <t>ROBINSON HEIGHTS APARTMENTS</t>
  </si>
  <si>
    <t>Millennia Housing Mgmt Ltd</t>
  </si>
  <si>
    <t>Connie Riley</t>
  </si>
  <si>
    <t>Robinson Heights Apartments I LP</t>
  </si>
  <si>
    <t>Frank Sinito</t>
  </si>
  <si>
    <t>11-HT-342</t>
  </si>
  <si>
    <t>SILVER OAKS</t>
  </si>
  <si>
    <t>Silver Oaks Ventures LLP</t>
  </si>
  <si>
    <t>11-HT-346</t>
  </si>
  <si>
    <t>CORRIDOR WOODS LIMITED PARTNERSHIP</t>
  </si>
  <si>
    <t>Corridor Woods Limited Partnership</t>
  </si>
  <si>
    <t>11-HT-349</t>
  </si>
  <si>
    <t>CAPITOL CITY DUPLEXES</t>
  </si>
  <si>
    <t>Capitol City Duplexes LLLP</t>
  </si>
  <si>
    <t>THE ROSE OF DUBUQUE</t>
  </si>
  <si>
    <t>The Rose of Dubuque</t>
  </si>
  <si>
    <t>CRANE ARTISTS LOFTS</t>
  </si>
  <si>
    <t>MDI Limited Partnership #86</t>
  </si>
  <si>
    <t>Larry Olson</t>
  </si>
  <si>
    <t>11-HT-358</t>
  </si>
  <si>
    <t>BEACON PLACE</t>
  </si>
  <si>
    <t>NP Dodge Management Company</t>
  </si>
  <si>
    <t>Charlotte J Neitzel</t>
  </si>
  <si>
    <t>Beacon Place Limited Partnership</t>
  </si>
  <si>
    <t>Leslie Coleman</t>
  </si>
  <si>
    <t>11-HT-01RD</t>
  </si>
  <si>
    <t>VALLEY VIEW APTS-COLUMBUS JUNCTION</t>
  </si>
  <si>
    <t>COLUMBUS JUNCTION</t>
  </si>
  <si>
    <t>Louisa</t>
  </si>
  <si>
    <t>125 9th Street LLLP</t>
  </si>
  <si>
    <t>Doug LaBounty</t>
  </si>
  <si>
    <t>10-HM-421-731</t>
  </si>
  <si>
    <t>OLIVE STREET BRICKSTONE</t>
  </si>
  <si>
    <t>Olive Street Brickstones LLC</t>
  </si>
  <si>
    <t>11-HT-409</t>
  </si>
  <si>
    <t>DES MOINES GREYSTONE HOMES LP</t>
  </si>
  <si>
    <t>Greystone Homes Development LP</t>
  </si>
  <si>
    <t>11-HM-204</t>
  </si>
  <si>
    <t>UNIVERCITY NEIGHBORHOOD</t>
  </si>
  <si>
    <t>11-HM-407</t>
  </si>
  <si>
    <t>LIBERTY RIDGE RENTALS</t>
  </si>
  <si>
    <t>RICEVILLE</t>
  </si>
  <si>
    <t>Howard</t>
  </si>
  <si>
    <t>Liberty Ridge, LLC</t>
  </si>
  <si>
    <t>Deanna Eastman</t>
  </si>
  <si>
    <t>11-HM-408</t>
  </si>
  <si>
    <t>OAK COURT RENTALS</t>
  </si>
  <si>
    <t>MEADOWLARK PLACE APARTMENTS</t>
  </si>
  <si>
    <t>Meadowlark PLace I LLLP</t>
  </si>
  <si>
    <t>MELBOURNE APARTMENTS II</t>
  </si>
  <si>
    <t>Melbourne Apartments II LLLP</t>
  </si>
  <si>
    <t>THE CREST AT BAKER CREEK</t>
  </si>
  <si>
    <t>McKinley Crest LLLP</t>
  </si>
  <si>
    <t>THE TALLCORN</t>
  </si>
  <si>
    <t>Historic Tallcorn Towers LLLP</t>
  </si>
  <si>
    <t>WALTON WOODS</t>
  </si>
  <si>
    <t>JEFFERSON</t>
  </si>
  <si>
    <t>Greene</t>
  </si>
  <si>
    <t>Walton Woods Limited Partnership</t>
  </si>
  <si>
    <t>PLYMOUTH PLACE</t>
  </si>
  <si>
    <t>Plymouth Place Associates, LP</t>
  </si>
  <si>
    <t>David Nelson</t>
  </si>
  <si>
    <t>ROSE Program</t>
  </si>
  <si>
    <t>SOUTHERN MEADOWS HOMES</t>
  </si>
  <si>
    <t>Southern Meadows Homes LP</t>
  </si>
  <si>
    <t>HEARTLAND SENIOR HOUSING</t>
  </si>
  <si>
    <t>Cohen-Esrey Communitities LLC</t>
  </si>
  <si>
    <t>Ryan Huffman</t>
  </si>
  <si>
    <t>Affordable Housing Partners Fund 35 LLC</t>
  </si>
  <si>
    <t>James Danaher</t>
  </si>
  <si>
    <t>PEBBLE CREEK VILLAS</t>
  </si>
  <si>
    <t>JNB Pebble Creek Villas L.P.</t>
  </si>
  <si>
    <t>12-HT-433</t>
  </si>
  <si>
    <t>ELSIE MASON MANOR</t>
  </si>
  <si>
    <t>EMM Associates LP</t>
  </si>
  <si>
    <t>BAKER CREEK SENIOR LIVING I</t>
  </si>
  <si>
    <t>Baker Creek Senior Living LLLP</t>
  </si>
  <si>
    <t>BJ Baker</t>
  </si>
  <si>
    <t>CARNEGIE PLACE APARTMENTS</t>
  </si>
  <si>
    <t>CHI Sioux City LLLP</t>
  </si>
  <si>
    <t>HARRISON LOFTS (DAVENPORT)</t>
  </si>
  <si>
    <t>Harrison Lofts Limited Partnership</t>
  </si>
  <si>
    <t>12-HT-02RD</t>
  </si>
  <si>
    <t>PRAIRIE VILLAGE OF LAPORTE CITY</t>
  </si>
  <si>
    <t>LA PORTE CITY</t>
  </si>
  <si>
    <t>LPC 2013 Rehab Associates LP</t>
  </si>
  <si>
    <t>LESSENICH PLACE APARTMENTS</t>
  </si>
  <si>
    <t>12-HT-03RD</t>
  </si>
  <si>
    <t>BOYER VIEW APARTMENTS</t>
  </si>
  <si>
    <t>LOGAN</t>
  </si>
  <si>
    <t>Park Avenue Management</t>
  </si>
  <si>
    <t>Nikki Nieman</t>
  </si>
  <si>
    <t>Logan 24 LP</t>
  </si>
  <si>
    <t>Julie Nylen</t>
  </si>
  <si>
    <t>LEGACY MANOR OF MASON CITY I</t>
  </si>
  <si>
    <t>Legacy Mason City LP</t>
  </si>
  <si>
    <t>12-HT-408</t>
  </si>
  <si>
    <t>WEST HEIGHTS TOWNHOMES</t>
  </si>
  <si>
    <t>West Heights Townhomes LLLP</t>
  </si>
  <si>
    <t>12AUG-HM-323</t>
  </si>
  <si>
    <t>STEWART PARK TOWNHOUSES</t>
  </si>
  <si>
    <t>Commonbond Communities</t>
  </si>
  <si>
    <t>12AUG-HM-326</t>
  </si>
  <si>
    <t>WELLINGTON HEIGHTS NEIGHBORHOOD REV</t>
  </si>
  <si>
    <t>12AUG-HM-335</t>
  </si>
  <si>
    <t>LEASE- AFFORDABLE LIVING APARTMENTS</t>
  </si>
  <si>
    <t>Goldfinch Property Management</t>
  </si>
  <si>
    <t>Kate Ridge</t>
  </si>
  <si>
    <t>Casselli Holdings Inc</t>
  </si>
  <si>
    <t>Julian Caselli</t>
  </si>
  <si>
    <t>96-HM-423-731</t>
  </si>
  <si>
    <t>RIVER WEST APARTMENTS</t>
  </si>
  <si>
    <t>MILFORD</t>
  </si>
  <si>
    <t>CHI Milford LLLP</t>
  </si>
  <si>
    <t>HILLTOP I</t>
  </si>
  <si>
    <t>95-HM-411-711</t>
  </si>
  <si>
    <t>BLOOMSBURY VILLAGE</t>
  </si>
  <si>
    <t>Bloomsbury Associates LLLP</t>
  </si>
  <si>
    <t>HILLTOP SENIOR</t>
  </si>
  <si>
    <t>BROADWAY HEIGHTS APARTMENTS I</t>
  </si>
  <si>
    <t>Broadway Heights Apartments I LLLP</t>
  </si>
  <si>
    <t>MELBOURNE APARTMENTS III</t>
  </si>
  <si>
    <t>Melbourne Apartments III LLLP</t>
  </si>
  <si>
    <t>THE RESERVES AT MILL FARM</t>
  </si>
  <si>
    <t>PELLA</t>
  </si>
  <si>
    <t>Mill Farm Partners LLC</t>
  </si>
  <si>
    <t>Pat Beatty</t>
  </si>
  <si>
    <t>THE RESERVES AT STORM LAKE</t>
  </si>
  <si>
    <t>Storm Lake Affordable Partners LLC</t>
  </si>
  <si>
    <t>ALICE PLACE AT WAUKEE</t>
  </si>
  <si>
    <t>Alice Place LP</t>
  </si>
  <si>
    <t>LIGUTTI TOWER</t>
  </si>
  <si>
    <t>LT Associates LP</t>
  </si>
  <si>
    <t>10TH STREET TOWNHOMES</t>
  </si>
  <si>
    <t>Lloyd Management Inc</t>
  </si>
  <si>
    <t>Sarah Collins</t>
  </si>
  <si>
    <t>10th St Townhomes LLP</t>
  </si>
  <si>
    <t>Kristie Blankenship</t>
  </si>
  <si>
    <t>13-HT-433</t>
  </si>
  <si>
    <t>NEWTON SENIOR RESIDENCE</t>
  </si>
  <si>
    <t>Newton Senior Residence LLC</t>
  </si>
  <si>
    <t>13-HT-01RD</t>
  </si>
  <si>
    <t>COLUMBUS JUNCTION PARK</t>
  </si>
  <si>
    <t>CHI Sheldon LLLP</t>
  </si>
  <si>
    <t>13-HT-02RD</t>
  </si>
  <si>
    <t>COMMUNITY PLAZA APARTMENTS</t>
  </si>
  <si>
    <t>FOREST CITY</t>
  </si>
  <si>
    <t>Winnebago</t>
  </si>
  <si>
    <t>94-HM-404-731</t>
  </si>
  <si>
    <t>PRAIRIE RIDGE</t>
  </si>
  <si>
    <t>SHELDON</t>
  </si>
  <si>
    <t>MARSHALLTOWN SENIOR RESIDENCES</t>
  </si>
  <si>
    <t>Marshalltown Senior Residences LLC</t>
  </si>
  <si>
    <t>Angela Morehead</t>
  </si>
  <si>
    <t>13-HM-306</t>
  </si>
  <si>
    <t>1400 BLOCK OF 4TH AVE SE REVITALIZATION</t>
  </si>
  <si>
    <t>13-HM-317</t>
  </si>
  <si>
    <t>FAIRMOUNT PINES PHASE II</t>
  </si>
  <si>
    <t>13-HM-371</t>
  </si>
  <si>
    <t>THE MEAD (ROSE APTS REHAB PROJECT)</t>
  </si>
  <si>
    <t>13AUG-HM-398</t>
  </si>
  <si>
    <t>3RD AVE SINGLE FAMILY HOMES REHAB</t>
  </si>
  <si>
    <t>14-HT-401</t>
  </si>
  <si>
    <t>CALL TERMINAL II</t>
  </si>
  <si>
    <t>Call Terminal II LP</t>
  </si>
  <si>
    <t>FAIRFIELD PARK I APARTMENTS</t>
  </si>
  <si>
    <t>RD Fairfield LLLP</t>
  </si>
  <si>
    <t>FAIRFIELD PARK II APARTMENTS</t>
  </si>
  <si>
    <t>RD Fairfield II LLLP</t>
  </si>
  <si>
    <t>REGENCY VILLA APARTMENTS</t>
  </si>
  <si>
    <t>ATLANTIC</t>
  </si>
  <si>
    <t>Cass</t>
  </si>
  <si>
    <t>RD Atlantic, LLLP</t>
  </si>
  <si>
    <t>14-HT-415</t>
  </si>
  <si>
    <t>LEGACY MANOR OF MASON CITY II</t>
  </si>
  <si>
    <t>Legacy Mason City II LP</t>
  </si>
  <si>
    <t>14-HT-402</t>
  </si>
  <si>
    <t>PRAIRIE HEIGHTS</t>
  </si>
  <si>
    <t>ORANGE CITY</t>
  </si>
  <si>
    <t>Sioux</t>
  </si>
  <si>
    <t>Excel Development Group</t>
  </si>
  <si>
    <t>Joel Anderson</t>
  </si>
  <si>
    <t>Prairie Heights LLC</t>
  </si>
  <si>
    <t>Brent Williams</t>
  </si>
  <si>
    <t>KINGSTON VILLAGE</t>
  </si>
  <si>
    <t>Sand Property Management, LLC</t>
  </si>
  <si>
    <t>Renee Retterath</t>
  </si>
  <si>
    <t>Kingston Village LLC</t>
  </si>
  <si>
    <t>Jamie Thelen</t>
  </si>
  <si>
    <t>14-HT-428</t>
  </si>
  <si>
    <t>HILLDALE ESTATES</t>
  </si>
  <si>
    <t>DENISON</t>
  </si>
  <si>
    <t>Crawford</t>
  </si>
  <si>
    <t>Laborers' Home Development Corporation</t>
  </si>
  <si>
    <t>Jessika Floyd</t>
  </si>
  <si>
    <t>Hilldale Estates Affordable Housing Limited Partne</t>
  </si>
  <si>
    <t>Jayne Lourash</t>
  </si>
  <si>
    <t>14-HT-430</t>
  </si>
  <si>
    <t>THE RESERVES AT BRIARWOOD</t>
  </si>
  <si>
    <t>WASHINGTON</t>
  </si>
  <si>
    <t>Washington</t>
  </si>
  <si>
    <t>Briarwood Partners LLC</t>
  </si>
  <si>
    <t>THE RESERVES AT IRONWOOD</t>
  </si>
  <si>
    <t>Ironwood Partners LLC</t>
  </si>
  <si>
    <t>HOTEL PRESIDENT</t>
  </si>
  <si>
    <t>ACC Management, Inc.</t>
  </si>
  <si>
    <t>Chris Hand</t>
  </si>
  <si>
    <t>Hotel President Partners LP</t>
  </si>
  <si>
    <t>Joshua Latter</t>
  </si>
  <si>
    <t>VILLAS AT FOX POINTE</t>
  </si>
  <si>
    <t>JNB Villas at Fox Pointe</t>
  </si>
  <si>
    <t>14-HT-437</t>
  </si>
  <si>
    <t>UNITED MANOR</t>
  </si>
  <si>
    <t>DE WITT</t>
  </si>
  <si>
    <t>United Manor Associates L.P.</t>
  </si>
  <si>
    <t>Bill Andersen</t>
  </si>
  <si>
    <t>SPAULDING LOFTS</t>
  </si>
  <si>
    <t>GRINNELL</t>
  </si>
  <si>
    <t>Poweshiek</t>
  </si>
  <si>
    <t>Spaulding Lofts East I LLLP</t>
  </si>
  <si>
    <t>COMMONWEALTH SENIOR APARTMENTS</t>
  </si>
  <si>
    <t>Chastity Sadowy</t>
  </si>
  <si>
    <t>Commonwealth Senior Apartments LP</t>
  </si>
  <si>
    <t>Tony Knoble</t>
  </si>
  <si>
    <t>14-HM-362</t>
  </si>
  <si>
    <t>NEICAC AFFORDABLE HOUSING PHASE VII</t>
  </si>
  <si>
    <t>POSTVILLE</t>
  </si>
  <si>
    <t>Allamakee</t>
  </si>
  <si>
    <t>14JUL-HM-923</t>
  </si>
  <si>
    <t>THE HOUSING FELLOWSHIP AFFORDABLE RENTAL</t>
  </si>
  <si>
    <t>14JUL-HM-924</t>
  </si>
  <si>
    <t>NEICAC SINGLE FAMILY RENTAL 2014</t>
  </si>
  <si>
    <t>STRAWBERRY POINT</t>
  </si>
  <si>
    <t>Clayton</t>
  </si>
  <si>
    <t>15-HT-401</t>
  </si>
  <si>
    <t>SOUTHERN POINTE</t>
  </si>
  <si>
    <t>Southern Pointe LLLP</t>
  </si>
  <si>
    <t>CANTERBURY HEIGHTS</t>
  </si>
  <si>
    <t>Canterbury Heights Limited Partnership</t>
  </si>
  <si>
    <t>MLK CROSSING SENIOR APARTMENTS</t>
  </si>
  <si>
    <t>Teresa Dixon</t>
  </si>
  <si>
    <t>MLK Crossing Senior Apartments LLLP</t>
  </si>
  <si>
    <t>BLAIRS FERRY SENIOR</t>
  </si>
  <si>
    <t>Blairs Ferry Senior Apartments LP</t>
  </si>
  <si>
    <t>15-HT-416</t>
  </si>
  <si>
    <t>THE ARBOR AT LINDALE TRAIL</t>
  </si>
  <si>
    <t>Full Circle Management, LLC</t>
  </si>
  <si>
    <t>Corina Pitsenbarger</t>
  </si>
  <si>
    <t>Arbor Marion Limited Partnership</t>
  </si>
  <si>
    <t>Joshua Wilmoth</t>
  </si>
  <si>
    <t>15-HT-417</t>
  </si>
  <si>
    <t>HAMLIN BELL SENIOR HOUSING</t>
  </si>
  <si>
    <t>PERRY</t>
  </si>
  <si>
    <t>Hamlin Bell Associates LP</t>
  </si>
  <si>
    <t>WILLIS AVENUE APARTMENTS</t>
  </si>
  <si>
    <t>Willis Avenue Apartments LLC</t>
  </si>
  <si>
    <t>S.R. Mills</t>
  </si>
  <si>
    <t>15-HT-419</t>
  </si>
  <si>
    <t>CENTERVILLE SENIOR LOFTS</t>
  </si>
  <si>
    <t>CENTERVILLE</t>
  </si>
  <si>
    <t>Appanoose</t>
  </si>
  <si>
    <t>Centerville Senior Lofts LLC</t>
  </si>
  <si>
    <t>15-HT-420</t>
  </si>
  <si>
    <t>KEOKUK SENIOR LOFTS</t>
  </si>
  <si>
    <t>Keokuk Senior Lofts LLC</t>
  </si>
  <si>
    <t>SOUTHRIDGE SENIOR LOFTS</t>
  </si>
  <si>
    <t>Southridge Senior Lofts LLC</t>
  </si>
  <si>
    <t>FORT DES MOINES</t>
  </si>
  <si>
    <t>Jessica Galvez</t>
  </si>
  <si>
    <t>FDM Development Partnership LLLP</t>
  </si>
  <si>
    <t>David Shafer</t>
  </si>
  <si>
    <t>CASTLEWOOD APARTMENTS</t>
  </si>
  <si>
    <t>Davenport MAHC LLLP</t>
  </si>
  <si>
    <t>Jeff Huggett</t>
  </si>
  <si>
    <t>LAFAYETTE SQUARE</t>
  </si>
  <si>
    <t>MWF IA3 Limited Partnership</t>
  </si>
  <si>
    <t>15-HT-404</t>
  </si>
  <si>
    <t>GOLDFINCH GROVE</t>
  </si>
  <si>
    <t>HULL</t>
  </si>
  <si>
    <t>Goldfinch Grove LLC</t>
  </si>
  <si>
    <t>15-HM-306</t>
  </si>
  <si>
    <t>WASHINGTON COURT (DES MOINES)</t>
  </si>
  <si>
    <t>15-HM-384</t>
  </si>
  <si>
    <t>NORTH STONE APARTMENTS</t>
  </si>
  <si>
    <t>North Stone Apartments LLC</t>
  </si>
  <si>
    <t>Peter Corkrean</t>
  </si>
  <si>
    <t>15-HM-388</t>
  </si>
  <si>
    <t>CASALINA CHATEAU</t>
  </si>
  <si>
    <t>Casalina Chateau</t>
  </si>
  <si>
    <t>La Toya Guevara</t>
  </si>
  <si>
    <t>APPLEWOOD IV</t>
  </si>
  <si>
    <t>Applewood IV LLC</t>
  </si>
  <si>
    <t>BLUFFS TOWERS APARTMENTS</t>
  </si>
  <si>
    <t>Knudson Management Company</t>
  </si>
  <si>
    <t>Deanne Buffington</t>
  </si>
  <si>
    <t>The Chieftain LLC</t>
  </si>
  <si>
    <t>Christie Johnsen</t>
  </si>
  <si>
    <t>VILLAS AT MEADOW SPRINGS</t>
  </si>
  <si>
    <t>Wilhoit Properties Inc.</t>
  </si>
  <si>
    <t>Michelle Gardner</t>
  </si>
  <si>
    <t>Villas at Meadow Springs LP</t>
  </si>
  <si>
    <t>Vaughn Zimmerman</t>
  </si>
  <si>
    <t>THE BRICKSTONES AT RIVERBEND</t>
  </si>
  <si>
    <t>Brickstones at Riverbend LLLP</t>
  </si>
  <si>
    <t>HARRISON LOFTS (MUSCATINE)</t>
  </si>
  <si>
    <t>Harrison Lofts LLC</t>
  </si>
  <si>
    <t>CORINTHIAN GARDENS</t>
  </si>
  <si>
    <t>Corinthian Gardens Associates L.P.</t>
  </si>
  <si>
    <t>Sarai Schnucker-Rice</t>
  </si>
  <si>
    <t>CORAL RIDGE APARTMENTS</t>
  </si>
  <si>
    <t>CORALVILLE</t>
  </si>
  <si>
    <t>Coral Ridge LLC</t>
  </si>
  <si>
    <t>DIAMOND SENIOR APARTMENTS OF IOWA CITY</t>
  </si>
  <si>
    <t>Iowa City Senior Apartments L. P.</t>
  </si>
  <si>
    <t>STEAMBOAT LANDING</t>
  </si>
  <si>
    <t>Steamboat Burlington Limited Partnership</t>
  </si>
  <si>
    <t>Arthur Krauer</t>
  </si>
  <si>
    <t>4TH AVENUE LOFTS</t>
  </si>
  <si>
    <t>4th Avenue Lofts LLC</t>
  </si>
  <si>
    <t>CRESTWOOD RIDGE APARTMENTS</t>
  </si>
  <si>
    <t>CB Cedar Rapids Housing LLLP</t>
  </si>
  <si>
    <t>LEGACY PARK</t>
  </si>
  <si>
    <t>Legacy Park, LLLP</t>
  </si>
  <si>
    <t>16-35A</t>
  </si>
  <si>
    <t>16-HM-1122</t>
  </si>
  <si>
    <t>NEICAC AFFORDABLE HOMES 2016</t>
  </si>
  <si>
    <t>GARNAVILLO</t>
  </si>
  <si>
    <t>16-HM-924</t>
  </si>
  <si>
    <t>THE HOUSING FELLOWSHIP CHDO ACQUISITION</t>
  </si>
  <si>
    <t>COURT VIEW APARTMENTS</t>
  </si>
  <si>
    <t>Court View LP</t>
  </si>
  <si>
    <t>WAVERLY HISTORIC LOFTS</t>
  </si>
  <si>
    <t>Cohen-Esrey Communities LLC</t>
  </si>
  <si>
    <t>Waverly Historic Lofts LLC</t>
  </si>
  <si>
    <t>Jon Atlas</t>
  </si>
  <si>
    <t>THE ABERDEEN APARTMENTS</t>
  </si>
  <si>
    <t>Ron Price</t>
  </si>
  <si>
    <t>The Aberdeen Apartments LLC</t>
  </si>
  <si>
    <t>Darin Smith</t>
  </si>
  <si>
    <t>LIBERTAD DES MOINES</t>
  </si>
  <si>
    <t>Libertad Des Moines LLC</t>
  </si>
  <si>
    <t>ASHTON FLATS</t>
  </si>
  <si>
    <t>Kingston Family Apartments L.L.L.P.</t>
  </si>
  <si>
    <t>WASHINGTON APARTMENTS</t>
  </si>
  <si>
    <t>Washington Apartments L.L.L.P.</t>
  </si>
  <si>
    <t>ALICE PLACE AT BOONE</t>
  </si>
  <si>
    <t>JNB Senior 1 LP</t>
  </si>
  <si>
    <t>MARQUETTE HALL</t>
  </si>
  <si>
    <t>Marquette Hall LLC</t>
  </si>
  <si>
    <t>SONOMA SQUARE</t>
  </si>
  <si>
    <t>Sonoma Square Partners LP</t>
  </si>
  <si>
    <t>Darryl High</t>
  </si>
  <si>
    <t>CYPRESS LOFTS</t>
  </si>
  <si>
    <t>Cypress Lofts LLC</t>
  </si>
  <si>
    <t>FIFTEENTH STREET APARTMENTS</t>
  </si>
  <si>
    <t>Malissa Rainey</t>
  </si>
  <si>
    <t>Fifteenth Street Apartments Limited Partnership</t>
  </si>
  <si>
    <t>Lindsey Haines</t>
  </si>
  <si>
    <t>PHEASANT RIDGE</t>
  </si>
  <si>
    <t>Iowa City Leased Housing Associates III LLLP</t>
  </si>
  <si>
    <t>Jen Brewereton</t>
  </si>
  <si>
    <t>ESW APARTMENTS</t>
  </si>
  <si>
    <t>National Affordable Housing Foundation</t>
  </si>
  <si>
    <t>RIVEREAST APARTMENTS</t>
  </si>
  <si>
    <t>Council Bluffs Leased Housing Associates I, LLLP</t>
  </si>
  <si>
    <t>Ryan Lunderby</t>
  </si>
  <si>
    <t>17-NHTF-1285</t>
  </si>
  <si>
    <t>FUSE-HOUSING FIRST</t>
  </si>
  <si>
    <t>Shelter House Community Shelter &amp; Trans Services</t>
  </si>
  <si>
    <t>Crissy Canganelli</t>
  </si>
  <si>
    <t>THE EVERETT</t>
  </si>
  <si>
    <t>Charlotte Neitzel</t>
  </si>
  <si>
    <t>1314 W 3rd LLC</t>
  </si>
  <si>
    <t>URBAN CROSSING APARTMENTS</t>
  </si>
  <si>
    <t>Urban Crossing Apartments L.L.L.P.</t>
  </si>
  <si>
    <t>HOTEL MAYTAG</t>
  </si>
  <si>
    <t>Hotel Maytag Investors LLC</t>
  </si>
  <si>
    <t>Jack Hatch</t>
  </si>
  <si>
    <t>Elevate at Jordan Creek</t>
  </si>
  <si>
    <t>Hayes Gibson Property Services, LLC</t>
  </si>
  <si>
    <t>Carson Hayes</t>
  </si>
  <si>
    <t>Elevate At Jordan Creek, LP</t>
  </si>
  <si>
    <t>Terrence Keusch</t>
  </si>
  <si>
    <t>WASHINGTON SENIOR APTS</t>
  </si>
  <si>
    <t>The Washington LLC</t>
  </si>
  <si>
    <t>ARAPAHOE</t>
  </si>
  <si>
    <t>NO MANAGER</t>
  </si>
  <si>
    <t>Lisa Strait</t>
  </si>
  <si>
    <t>IFA 1st Year Monitoring</t>
  </si>
  <si>
    <t>lisa strait</t>
  </si>
  <si>
    <t>DON DUFOE APTS</t>
  </si>
  <si>
    <t>CENTER POINT</t>
  </si>
  <si>
    <t>KarTay Apartment Management</t>
  </si>
  <si>
    <t>Brenda Nabholz</t>
  </si>
  <si>
    <t>Don Dufoe LP</t>
  </si>
  <si>
    <t>Don Dufoe</t>
  </si>
  <si>
    <t>SPRING HILLS APTS PHASE II</t>
  </si>
  <si>
    <t>WELLMAN</t>
  </si>
  <si>
    <t>Financial Service Group, Inc.</t>
  </si>
  <si>
    <t>Jen Rugg</t>
  </si>
  <si>
    <t>Spring Hills Apartments General Partnership</t>
  </si>
  <si>
    <t>Jared T Powell</t>
  </si>
  <si>
    <t>HOLZHAUS APTS</t>
  </si>
  <si>
    <t>Murphy Realty &amp; Management Inc</t>
  </si>
  <si>
    <t>Michael Murphy</t>
  </si>
  <si>
    <t>The Pentagram Corporation</t>
  </si>
  <si>
    <t>Charles R Kelly</t>
  </si>
  <si>
    <t>MARTHA'S HAUS</t>
  </si>
  <si>
    <t>CC Investments LLC</t>
  </si>
  <si>
    <t>Carol Copeland</t>
  </si>
  <si>
    <t>ROSEWOOD APTS</t>
  </si>
  <si>
    <t>Metro Property Management</t>
  </si>
  <si>
    <t>Mike Boge</t>
  </si>
  <si>
    <t>Kenwood Apartments LLC</t>
  </si>
  <si>
    <t>LANTERN PARK APTS (HAMPTON)</t>
  </si>
  <si>
    <t>HAMPTON</t>
  </si>
  <si>
    <t>Franklin</t>
  </si>
  <si>
    <t>Hampton Iowa Housing Associates LP</t>
  </si>
  <si>
    <t>LANTERN PARK APTS (CHARLES CITY)</t>
  </si>
  <si>
    <t>Charles City Iowa Housing Associates LP</t>
  </si>
  <si>
    <t>LANTERN PARK APTS (WAVERLY)</t>
  </si>
  <si>
    <t>Waverly Iowa Housing Associates LP</t>
  </si>
  <si>
    <t>BUENA VISTA APTS</t>
  </si>
  <si>
    <t>JESUP</t>
  </si>
  <si>
    <t>Buchanan</t>
  </si>
  <si>
    <t>Buchanan County Housing Associates LP</t>
  </si>
  <si>
    <t>Nicholas Roby</t>
  </si>
  <si>
    <t>VIKING VILLAGE APTS</t>
  </si>
  <si>
    <t>STORY CITY</t>
  </si>
  <si>
    <t>Viking Village Company LP</t>
  </si>
  <si>
    <t>NORWALK PARK APTS</t>
  </si>
  <si>
    <t>Norwalk Park Apartments Limited Partnership</t>
  </si>
  <si>
    <t>BAXTER PARK APTS</t>
  </si>
  <si>
    <t>BAXTER</t>
  </si>
  <si>
    <t>Baxter Park Apartments LP</t>
  </si>
  <si>
    <t>MANCHESTER PARK III</t>
  </si>
  <si>
    <t>MANCHESTER</t>
  </si>
  <si>
    <t>Delaware</t>
  </si>
  <si>
    <t>Manchester Park LP</t>
  </si>
  <si>
    <t>GRIMES PARK I</t>
  </si>
  <si>
    <t>Grimes Park I Limited Partnership</t>
  </si>
  <si>
    <t>CANDLERIDGE APTS OF PERRY</t>
  </si>
  <si>
    <t>Candleridge VII LLC</t>
  </si>
  <si>
    <t>PINE VALLEY APTS (REGENCY VILLA CARROLL)</t>
  </si>
  <si>
    <t>Regency Villa Carroll LP</t>
  </si>
  <si>
    <t>MAPLE GROVE APTS (NORTH STAR W H LP 1)</t>
  </si>
  <si>
    <t>HARTLEY</t>
  </si>
  <si>
    <t>North Star W H LP #2</t>
  </si>
  <si>
    <t>MW Hart</t>
  </si>
  <si>
    <t>ARBOR OAK APTS (NORTH STAR W H LP 2)</t>
  </si>
  <si>
    <t>WEBB</t>
  </si>
  <si>
    <t>MONTROSE SENIOR APTS</t>
  </si>
  <si>
    <t>MONTROSE</t>
  </si>
  <si>
    <t>Montrose Senior Apartments LP</t>
  </si>
  <si>
    <t>James M Threatt</t>
  </si>
  <si>
    <t>THE MEADOWS LAKE CONGREGATE CARE</t>
  </si>
  <si>
    <t>Meadows Mgmt LLC</t>
  </si>
  <si>
    <t>Carolyn Haugland</t>
  </si>
  <si>
    <t>Lake Congregate Care LP</t>
  </si>
  <si>
    <t>Greg C Nicholas</t>
  </si>
  <si>
    <t>18 AND 20 SE KENYON</t>
  </si>
  <si>
    <t>HouseBuyers LLC</t>
  </si>
  <si>
    <t>Tom Roth</t>
  </si>
  <si>
    <t>12 AND 14 SE KENYON</t>
  </si>
  <si>
    <t>201 SE LIVINGSTON</t>
  </si>
  <si>
    <t>CK &amp; H Real Estate Partnership</t>
  </si>
  <si>
    <t>Leroy Edwards</t>
  </si>
  <si>
    <t>EASTGATE APTS</t>
  </si>
  <si>
    <t>LAKE MILLS</t>
  </si>
  <si>
    <t>Eastgate Apartments LP</t>
  </si>
  <si>
    <t>Dave Iverson</t>
  </si>
  <si>
    <t>OSCEOLA ESTATES</t>
  </si>
  <si>
    <t>OSCEOLA</t>
  </si>
  <si>
    <t>Clarke</t>
  </si>
  <si>
    <t>Fairway Management Inc</t>
  </si>
  <si>
    <t>Ryan Stevens</t>
  </si>
  <si>
    <t>Osceola Estates LP</t>
  </si>
  <si>
    <t>PARKVIEW APTS</t>
  </si>
  <si>
    <t>MANSON</t>
  </si>
  <si>
    <t>Calhoun</t>
  </si>
  <si>
    <t>Craig &amp; Luann Nekvinda</t>
  </si>
  <si>
    <t>Craig Nekvinda</t>
  </si>
  <si>
    <t>CYPRESS POINTE APTS I</t>
  </si>
  <si>
    <t>EMMETSBURG</t>
  </si>
  <si>
    <t>Palo Alto</t>
  </si>
  <si>
    <t>Northwest CPH, LLC</t>
  </si>
  <si>
    <t>LAWLOR AND GARVEY PLACES</t>
  </si>
  <si>
    <t>Genesis Two Mgmt Inc</t>
  </si>
  <si>
    <t>Margie White</t>
  </si>
  <si>
    <t>Exodus Two Holdings LLC</t>
  </si>
  <si>
    <t>MANCHESTER PARK APTS II</t>
  </si>
  <si>
    <t>Joe Koopman</t>
  </si>
  <si>
    <t>ASHBROOKE PHASE II</t>
  </si>
  <si>
    <t>BH Management</t>
  </si>
  <si>
    <t>Abby Alexander</t>
  </si>
  <si>
    <t>Ashbrooke Iowa Partners, LLC</t>
  </si>
  <si>
    <t>Kirby Gunnerson</t>
  </si>
  <si>
    <t>VILLAGE AT NINE 23 I</t>
  </si>
  <si>
    <t>Carri Schwartz</t>
  </si>
  <si>
    <t>College Square Partners LP</t>
  </si>
  <si>
    <t>Angie Lloyd</t>
  </si>
  <si>
    <t>CANDLERIDGE APTS OF RUNNELLS</t>
  </si>
  <si>
    <t>RUNNELLS</t>
  </si>
  <si>
    <t>DAKOTA APTS</t>
  </si>
  <si>
    <t>GLIDDEN</t>
  </si>
  <si>
    <t>R-P Properties Ltd</t>
  </si>
  <si>
    <t>Michael J Murphy</t>
  </si>
  <si>
    <t>LIH DUPLEX 3</t>
  </si>
  <si>
    <t>Twyla McDonough</t>
  </si>
  <si>
    <t>LENOX PARK APTS</t>
  </si>
  <si>
    <t>LENOX</t>
  </si>
  <si>
    <t>Taylor</t>
  </si>
  <si>
    <t>Lenox Park LP</t>
  </si>
  <si>
    <t>LANTERN PARK APTS (CLARION)</t>
  </si>
  <si>
    <t>CLARION</t>
  </si>
  <si>
    <t>Wright</t>
  </si>
  <si>
    <t>Clarion Iowa Housing Associates LP</t>
  </si>
  <si>
    <t>WAPSIE VALLEY APTS</t>
  </si>
  <si>
    <t>INDEPENDENCE</t>
  </si>
  <si>
    <t>Independence LP</t>
  </si>
  <si>
    <t>HARBOR CREST APTS (FAIRVIEW VILLAGE V)</t>
  </si>
  <si>
    <t>Fairview Village VLP</t>
  </si>
  <si>
    <t>VALLEY VIEW APTS-MCGREGOR</t>
  </si>
  <si>
    <t>MCGREGOR</t>
  </si>
  <si>
    <t>Horizon Management Group Inc</t>
  </si>
  <si>
    <t>Brad Gerke</t>
  </si>
  <si>
    <t>WHPC McGregor Partners Limited Partnership</t>
  </si>
  <si>
    <t>Mark Stay</t>
  </si>
  <si>
    <t>CRESTVIEW APTS</t>
  </si>
  <si>
    <t>LE GRAND</t>
  </si>
  <si>
    <t>Crestview Apartments Limited Partnership</t>
  </si>
  <si>
    <t>Diane Plunkett</t>
  </si>
  <si>
    <t>RAILROAD STREET HOUSING</t>
  </si>
  <si>
    <t>FAIRFAX</t>
  </si>
  <si>
    <t>Eagle Property Management</t>
  </si>
  <si>
    <t>Dee Mease</t>
  </si>
  <si>
    <t>Esaie Toingar</t>
  </si>
  <si>
    <t>CYPRESS POINTE APTS II</t>
  </si>
  <si>
    <t>GRINNELL ESTATES</t>
  </si>
  <si>
    <t>Grinnell Estates LP</t>
  </si>
  <si>
    <t>WHISPERING PINES APARTMENTS</t>
  </si>
  <si>
    <t>WILLIAMSBURG</t>
  </si>
  <si>
    <t>Iowa</t>
  </si>
  <si>
    <t>Green Prairie Corporation</t>
  </si>
  <si>
    <t>PRAIRIE CITY PARK APTS</t>
  </si>
  <si>
    <t>PRAIRIE CITY</t>
  </si>
  <si>
    <t>Prairie City Park Limited Partnership</t>
  </si>
  <si>
    <t>WESTVIEW VILLAGE APTS</t>
  </si>
  <si>
    <t>Westview Village Limited Partnership</t>
  </si>
  <si>
    <t>LAKE PLAZA APTS</t>
  </si>
  <si>
    <t>LAKE CITY</t>
  </si>
  <si>
    <t>Lake City I Limited Partnership</t>
  </si>
  <si>
    <t>LE GRAND VILLAGE</t>
  </si>
  <si>
    <t>LeGrand Village Limited Partnership</t>
  </si>
  <si>
    <t>PARKERSBURG VILLAGE APTS</t>
  </si>
  <si>
    <t>PARKERSBURG</t>
  </si>
  <si>
    <t>Parkersburg Village Limited Partnership</t>
  </si>
  <si>
    <t>LANTERN PARK APTS (TAMA)</t>
  </si>
  <si>
    <t>Tama Iowa Housing Associates Limited Partnership</t>
  </si>
  <si>
    <t>LANTERN PARK APTS (OSAGE)</t>
  </si>
  <si>
    <t>Osage Iowa Housing Associates LP</t>
  </si>
  <si>
    <t>CANDLERIDGE APTS OF WAUKEE</t>
  </si>
  <si>
    <t>CANDLERIDGE APTS OF BONDURANT</t>
  </si>
  <si>
    <t>BONDURANT</t>
  </si>
  <si>
    <t>EDGEWOOD APTS</t>
  </si>
  <si>
    <t>CV Apartments LP</t>
  </si>
  <si>
    <t>EASTLAND PARK SENIOR APTS</t>
  </si>
  <si>
    <t>ALGONA</t>
  </si>
  <si>
    <t>SMR Management, Inc.</t>
  </si>
  <si>
    <t>Rachel Malecka</t>
  </si>
  <si>
    <t>Eastland Park Senior Apartments LP</t>
  </si>
  <si>
    <t>Dean Doyscher</t>
  </si>
  <si>
    <t>SOUTHRIDGE SR. RESIDENCES</t>
  </si>
  <si>
    <t>Pacific Management Inc</t>
  </si>
  <si>
    <t>Denise Tietz</t>
  </si>
  <si>
    <t>Southridge Residential LLC</t>
  </si>
  <si>
    <t>Denise P Tietz</t>
  </si>
  <si>
    <t>WESTWOOD APTS</t>
  </si>
  <si>
    <t>WAUKON</t>
  </si>
  <si>
    <t>Hertz Farm Management Inc</t>
  </si>
  <si>
    <t>Julie Meyers</t>
  </si>
  <si>
    <t>Waukon Apartments LP</t>
  </si>
  <si>
    <t>Dan Bresnahan</t>
  </si>
  <si>
    <t>BISHOP'S BLOCK APTS</t>
  </si>
  <si>
    <t>Mercy Housing, Inc.</t>
  </si>
  <si>
    <t>Melissa Rankin</t>
  </si>
  <si>
    <t>SUNRISE VILLA APTS</t>
  </si>
  <si>
    <t>Sunrise Estates LP</t>
  </si>
  <si>
    <t>MARENGO PARK APARTMENTS</t>
  </si>
  <si>
    <t>MARENGO</t>
  </si>
  <si>
    <t>Marengo Park Apartments LP</t>
  </si>
  <si>
    <t>WILLOWBROOK APTS</t>
  </si>
  <si>
    <t>CHEROKEE</t>
  </si>
  <si>
    <t>Cherokee</t>
  </si>
  <si>
    <t>Cherokee I LP</t>
  </si>
  <si>
    <t>HIGHLAND ESTATES</t>
  </si>
  <si>
    <t>Highland Estates No 1 LP</t>
  </si>
  <si>
    <t>CLOVERIDGE APTS</t>
  </si>
  <si>
    <t>Altoona I Limited Partnership</t>
  </si>
  <si>
    <t>MEADOWBROOK APTS</t>
  </si>
  <si>
    <t>Oskaloosa I LP</t>
  </si>
  <si>
    <t>NEWTON PLAZA APTS</t>
  </si>
  <si>
    <t>Newton I LP</t>
  </si>
  <si>
    <t>CRESTVIEW OF MARSHALLTOWN</t>
  </si>
  <si>
    <t>Ames Properties</t>
  </si>
  <si>
    <t>Carol Deahl</t>
  </si>
  <si>
    <t>Crestview Apts LLC</t>
  </si>
  <si>
    <t>Steve Ames</t>
  </si>
  <si>
    <t>CANDLERIDGE APTS OF PERRY II</t>
  </si>
  <si>
    <t>WESTWOOD PARK APTS</t>
  </si>
  <si>
    <t>WEST UNION</t>
  </si>
  <si>
    <t>Fayette</t>
  </si>
  <si>
    <t>West Union Iowa Housing Assoc LP</t>
  </si>
  <si>
    <t>EAGLEWOOD PARK APTS</t>
  </si>
  <si>
    <t>EAGLE GROVE</t>
  </si>
  <si>
    <t>Eagle Grove Iowa Housing Assoc LP</t>
  </si>
  <si>
    <t>VILLAGE AT NINE 23 II</t>
  </si>
  <si>
    <t>College Square Partners II Ltd</t>
  </si>
  <si>
    <t>APPLEWOOD I</t>
  </si>
  <si>
    <t>Sodarock Housing Cooperative</t>
  </si>
  <si>
    <t>James Gantz</t>
  </si>
  <si>
    <t>BURLINGTON RIVER APARTMENTS</t>
  </si>
  <si>
    <t>WEST BURLINGTON</t>
  </si>
  <si>
    <t>M&amp;M Properties SEIA LLC</t>
  </si>
  <si>
    <t>Larry Matteson</t>
  </si>
  <si>
    <t>M&amp;M Properties Cooperative</t>
  </si>
  <si>
    <t>THE HOMESTEAD</t>
  </si>
  <si>
    <t>The Homestead</t>
  </si>
  <si>
    <t>Steven Muller</t>
  </si>
  <si>
    <t>Balance Autism Foundation</t>
  </si>
  <si>
    <t>CANDLERIDGE APTS OF WAUKEE II</t>
  </si>
  <si>
    <t>CENTENNIAL PLACE I</t>
  </si>
  <si>
    <t>TMG Management LC</t>
  </si>
  <si>
    <t>Jessica Butler</t>
  </si>
  <si>
    <t>SOTE Seven Centennial, Inc.</t>
  </si>
  <si>
    <t>COUNTRY HILL II APTS</t>
  </si>
  <si>
    <t>ABG Country Hill LLC</t>
  </si>
  <si>
    <t>HILLCREST APTS</t>
  </si>
  <si>
    <t>Superior Rentals LLC</t>
  </si>
  <si>
    <t>Mike Judge</t>
  </si>
  <si>
    <t>Glenda Drive LLC</t>
  </si>
  <si>
    <t>BLAIRS FERRY LIMITED</t>
  </si>
  <si>
    <t>VALLEY VIEW APTS-CEDAR RAPIDS</t>
  </si>
  <si>
    <t>ABG Valley View LLC</t>
  </si>
  <si>
    <t>BRIARWOOD APTS</t>
  </si>
  <si>
    <t>Humboldt I LP</t>
  </si>
  <si>
    <t>NATIONAL BISCUIT CO FLATS</t>
  </si>
  <si>
    <t>National Biscuit Company Flats LLC</t>
  </si>
  <si>
    <t>Darren Harkins</t>
  </si>
  <si>
    <t>HUNTER'S RUN APTS</t>
  </si>
  <si>
    <t>ABG Hunter's Run, LLC</t>
  </si>
  <si>
    <t>SOUTHERN HILLS APTS</t>
  </si>
  <si>
    <t>Western Prairie Land &amp; Livery Co</t>
  </si>
  <si>
    <t>Dane P Shelton</t>
  </si>
  <si>
    <t>THE BLUFFS APTS</t>
  </si>
  <si>
    <t>SMV Bluffs Apt LP</t>
  </si>
  <si>
    <t>APPLEWOOD SENIOR APTS II</t>
  </si>
  <si>
    <t>EVERGREEN ESTATES I</t>
  </si>
  <si>
    <t>94-HM-202-731</t>
  </si>
  <si>
    <t>SIBLEY</t>
  </si>
  <si>
    <t>Osceola</t>
  </si>
  <si>
    <t>Sibley One LP</t>
  </si>
  <si>
    <t>PRESTWICK APTS</t>
  </si>
  <si>
    <t>Midstates Development Inc</t>
  </si>
  <si>
    <t>Diane Lary</t>
  </si>
  <si>
    <t>Prestwick Apartments Ltd LP</t>
  </si>
  <si>
    <t>Terry Burns</t>
  </si>
  <si>
    <t>THE BLUFFS APTS PHASE II</t>
  </si>
  <si>
    <t>95-HM-410-731</t>
  </si>
  <si>
    <t>WESTERN TRAILS APTS</t>
  </si>
  <si>
    <t>Jack Sipes</t>
  </si>
  <si>
    <t>95-HM-407-731</t>
  </si>
  <si>
    <t>NORTH FRONT PARK APTS</t>
  </si>
  <si>
    <t>North Liberty Iowa Housing Associates LP</t>
  </si>
  <si>
    <t>95-HM-408-731</t>
  </si>
  <si>
    <t>MAPLE RIVER APTS</t>
  </si>
  <si>
    <t>IDA GROVE</t>
  </si>
  <si>
    <t>Ida</t>
  </si>
  <si>
    <t>Ida Grove Iowa Housing Associates LP</t>
  </si>
  <si>
    <t>AOSSEY PLACE</t>
  </si>
  <si>
    <t>Heartland V LLC</t>
  </si>
  <si>
    <t>Darin Garmin</t>
  </si>
  <si>
    <t>95-HM-201-721</t>
  </si>
  <si>
    <t>SILVER LAKE APTS</t>
  </si>
  <si>
    <t>LAKE PARK</t>
  </si>
  <si>
    <t>Silver Lake LP</t>
  </si>
  <si>
    <t>95-HM-414-731</t>
  </si>
  <si>
    <t>MAPLE PLACE APTS</t>
  </si>
  <si>
    <t>WINFIELD</t>
  </si>
  <si>
    <t>Winfield Village LP</t>
  </si>
  <si>
    <t>Calvin M Akin</t>
  </si>
  <si>
    <t>M-93-400-731-05</t>
  </si>
  <si>
    <t>CEDAR CREST/HICKORY PLACE</t>
  </si>
  <si>
    <t>CRESCO</t>
  </si>
  <si>
    <t>Cresco Village LP</t>
  </si>
  <si>
    <t>SENECA PLACE</t>
  </si>
  <si>
    <t>Seneca Place Apts LLC</t>
  </si>
  <si>
    <t>94-HM-405-701</t>
  </si>
  <si>
    <t>CEDAR MANOR APTS</t>
  </si>
  <si>
    <t>Boone I LP</t>
  </si>
  <si>
    <t>94-HM-403-721</t>
  </si>
  <si>
    <t>PRAIRIEVIEW MANOR APTS</t>
  </si>
  <si>
    <t>Prairieview Manor Company LP</t>
  </si>
  <si>
    <t>95-HM-203-731</t>
  </si>
  <si>
    <t>NORTH VALLEY APTS</t>
  </si>
  <si>
    <t>GRAETTINGER</t>
  </si>
  <si>
    <t>Graettinger Housing Associates LP</t>
  </si>
  <si>
    <t>Sam S Erickson</t>
  </si>
  <si>
    <t>PHEASANT RUN APTS I (DEWITT)</t>
  </si>
  <si>
    <t>Senne Property Investments IA, LLC</t>
  </si>
  <si>
    <t>Emma Deem</t>
  </si>
  <si>
    <t>Jason A Senne</t>
  </si>
  <si>
    <t>NORTHRIDGE APTS</t>
  </si>
  <si>
    <t>95-HM-413-731</t>
  </si>
  <si>
    <t>COUNTRYSIDE VILLAGE OF MANCHESTER</t>
  </si>
  <si>
    <t>Countryside Associates of Manchester LP</t>
  </si>
  <si>
    <t>95-HM-420-731</t>
  </si>
  <si>
    <t>CRESTON PLAZA APTS I</t>
  </si>
  <si>
    <t>EVERGREEN ESTATES II</t>
  </si>
  <si>
    <t>96-HM-421-731</t>
  </si>
  <si>
    <t>PHEASANT RUN APTS II (DEWITT)</t>
  </si>
  <si>
    <t>96-HMS-425-731</t>
  </si>
  <si>
    <t>BISHOP HILL APTS</t>
  </si>
  <si>
    <t>TIPTON</t>
  </si>
  <si>
    <t>Cedar</t>
  </si>
  <si>
    <t>Tipton Iowa Housing Associates LP</t>
  </si>
  <si>
    <t>ROLLING MEADOWS APTS</t>
  </si>
  <si>
    <t>Jocebee LLC</t>
  </si>
  <si>
    <t>David Kempen</t>
  </si>
  <si>
    <t>Waverly-Rolling Meadows LLC</t>
  </si>
  <si>
    <t>HMFR-93-408-731</t>
  </si>
  <si>
    <t>COLORADO PARK APTS</t>
  </si>
  <si>
    <t>Colorado Park Associates LP</t>
  </si>
  <si>
    <t>FOX MEADOWS APTS</t>
  </si>
  <si>
    <t>EVANSDALE</t>
  </si>
  <si>
    <t>JP Star Housing Cooperative</t>
  </si>
  <si>
    <t>BROOKSIDE SENIOR APTS</t>
  </si>
  <si>
    <t>96-HM-424-731</t>
  </si>
  <si>
    <t>CHESAPEAKE APTS</t>
  </si>
  <si>
    <t>Mt Pleasant II LP</t>
  </si>
  <si>
    <t>96-HMS-430-731A</t>
  </si>
  <si>
    <t>BROOKRIDGE APTS</t>
  </si>
  <si>
    <t>SAC CITY</t>
  </si>
  <si>
    <t>Sac City I LP</t>
  </si>
  <si>
    <t>96-HMS-429-731A</t>
  </si>
  <si>
    <t>GARDEN VILLAGE APTS</t>
  </si>
  <si>
    <t>ESTHERVILLE</t>
  </si>
  <si>
    <t>Emmet</t>
  </si>
  <si>
    <t>Garden Village of Estherville LP</t>
  </si>
  <si>
    <t>94-HM-432-731</t>
  </si>
  <si>
    <t>EHDG APTS</t>
  </si>
  <si>
    <t>Humility of Mary Holdings LLC</t>
  </si>
  <si>
    <t>Ashley Velez</t>
  </si>
  <si>
    <t>97-HM-201-731</t>
  </si>
  <si>
    <t>COURT VIEW APTS</t>
  </si>
  <si>
    <t>97-HM-436-731</t>
  </si>
  <si>
    <t>WC STOKES ESTATES</t>
  </si>
  <si>
    <t>Stokes Senior Housing Ventures LP</t>
  </si>
  <si>
    <t>98-HM-448-731</t>
  </si>
  <si>
    <t>WOODLAND HEIGHTS APTS</t>
  </si>
  <si>
    <t>Premier Woodland Heights, LLC</t>
  </si>
  <si>
    <t>98-HM-201-731</t>
  </si>
  <si>
    <t>DRAKE SCHAULAND APTS</t>
  </si>
  <si>
    <t>MCSA MWA LP I</t>
  </si>
  <si>
    <t>97-HMS-438-731</t>
  </si>
  <si>
    <t>WOODRIDGE APTS</t>
  </si>
  <si>
    <t>IHC Limited Partnership I</t>
  </si>
  <si>
    <t>COUNTRY CLUB APTS</t>
  </si>
  <si>
    <t>Premier Osceola IA, LLC</t>
  </si>
  <si>
    <t>97-HMS-439-731</t>
  </si>
  <si>
    <t>MADISON HEIGHTS APTS</t>
  </si>
  <si>
    <t>Premier Knoxville IA, LLC</t>
  </si>
  <si>
    <t>97-HMS-436-731</t>
  </si>
  <si>
    <t>WESTERN TRAILS II APTS</t>
  </si>
  <si>
    <t>97-HMS-437-731</t>
  </si>
  <si>
    <t>PHEASANT RUN APTS (POSTVILLE)</t>
  </si>
  <si>
    <t>Postville Partners LP</t>
  </si>
  <si>
    <t>R. Lee Harris</t>
  </si>
  <si>
    <t>OAK CROSSING</t>
  </si>
  <si>
    <t>Professional Property Management</t>
  </si>
  <si>
    <t>Lisa Rosenmeyer</t>
  </si>
  <si>
    <t>Grimes Investors LP</t>
  </si>
  <si>
    <t>Keith Denner</t>
  </si>
  <si>
    <t>PARKWILD APTS</t>
  </si>
  <si>
    <t>Parkwild Heights LLC</t>
  </si>
  <si>
    <t>97-HMS-435-731</t>
  </si>
  <si>
    <t>MEADOW WOOD OF CARROLL</t>
  </si>
  <si>
    <t>Premier Meadow Woods I IA, LLC</t>
  </si>
  <si>
    <t>VENBURY TRAIL APARTMENTS</t>
  </si>
  <si>
    <t>Venbury Trail Limited Partnership</t>
  </si>
  <si>
    <t>96-HMS-431-731</t>
  </si>
  <si>
    <t>WAGON WHEEL SENIOR HOUSING</t>
  </si>
  <si>
    <t>Wagon Wheel LP</t>
  </si>
  <si>
    <t>97-HM-204-731</t>
  </si>
  <si>
    <t>WASHINGTON COURT APTS (DECORAH)</t>
  </si>
  <si>
    <t>NEICAC Housing Investors LLC</t>
  </si>
  <si>
    <t>97-HMS-440-731</t>
  </si>
  <si>
    <t>QUAIL RUN APTS</t>
  </si>
  <si>
    <t>Perry Partners LP</t>
  </si>
  <si>
    <t>OAKBROOK APTS</t>
  </si>
  <si>
    <t>ROCKWELL</t>
  </si>
  <si>
    <t>Pilot Creek Properties L.L.C.</t>
  </si>
  <si>
    <t>Nicholas B Graham</t>
  </si>
  <si>
    <t>96-HM-424-731-A</t>
  </si>
  <si>
    <t>CHESAPEAKE APTS PHASE II</t>
  </si>
  <si>
    <t>OAKLAND PARK APTS</t>
  </si>
  <si>
    <t>OAKLAND</t>
  </si>
  <si>
    <t>Oakland I LP</t>
  </si>
  <si>
    <t>MEADOW RUN APTS</t>
  </si>
  <si>
    <t>CLARINDA</t>
  </si>
  <si>
    <t>Page</t>
  </si>
  <si>
    <t>Clarinda I LP</t>
  </si>
  <si>
    <t>FEATHERSTONE APARTMENTS</t>
  </si>
  <si>
    <t>SMV Featherstone, LLC</t>
  </si>
  <si>
    <t>97-HMS-078-731</t>
  </si>
  <si>
    <t>SOUTH SUMMIT APTS II</t>
  </si>
  <si>
    <t>98-HM-209-731</t>
  </si>
  <si>
    <t>NORTHWOOD COURT APTS</t>
  </si>
  <si>
    <t>SIOUX CENTER</t>
  </si>
  <si>
    <t>Northwood Court LP</t>
  </si>
  <si>
    <t>98-HM-204-731</t>
  </si>
  <si>
    <t>HARTLAND APTS</t>
  </si>
  <si>
    <t>Hartley Housing Asociates LP</t>
  </si>
  <si>
    <t>98-HM-203-27</t>
  </si>
  <si>
    <t>CENTURY PLAZA APTS</t>
  </si>
  <si>
    <t>Century Plaza LP</t>
  </si>
  <si>
    <t>98-HM-205-731</t>
  </si>
  <si>
    <t>LAKEWOOD COURT APTS</t>
  </si>
  <si>
    <t>Lakewood Court LP</t>
  </si>
  <si>
    <t>PARKWILD II</t>
  </si>
  <si>
    <t>Alicia Clark</t>
  </si>
  <si>
    <t>98-HM-206-731</t>
  </si>
  <si>
    <t>WOODBURY PARK APARTMENTS</t>
  </si>
  <si>
    <t>Woodbury Park LP</t>
  </si>
  <si>
    <t>98-HM-207-731</t>
  </si>
  <si>
    <t>MAPLECREST APTS</t>
  </si>
  <si>
    <t>HAWARDEN</t>
  </si>
  <si>
    <t>Maplecrest Apartments LP</t>
  </si>
  <si>
    <t>95-HM-416-731</t>
  </si>
  <si>
    <t>TWIN OAKS MANOR</t>
  </si>
  <si>
    <t>DENMARK</t>
  </si>
  <si>
    <t>Liberty Realty</t>
  </si>
  <si>
    <t>Jeanine Thurston</t>
  </si>
  <si>
    <t>Twin Oaks Manor Inc</t>
  </si>
  <si>
    <t>Dean Blanchard</t>
  </si>
  <si>
    <t>98-HM-208-28</t>
  </si>
  <si>
    <t>MARSH PLACE APTS</t>
  </si>
  <si>
    <t>Marsh Place LP</t>
  </si>
  <si>
    <t>BOONE SUNDANCE APTS</t>
  </si>
  <si>
    <t>Premier Boone IA, LLC</t>
  </si>
  <si>
    <t>Casey Duffy</t>
  </si>
  <si>
    <t>NEWTON SUNDANCE APTS</t>
  </si>
  <si>
    <t>Premier Newton IA, LLC</t>
  </si>
  <si>
    <t>MARSHALLTOWN SUNDANCE APTS</t>
  </si>
  <si>
    <t>Premier Marshalltown IA LLC</t>
  </si>
  <si>
    <t>99-HM-407-721</t>
  </si>
  <si>
    <t>CONCORD TERRACE</t>
  </si>
  <si>
    <t>Iowa City IHA Senior Housing LP</t>
  </si>
  <si>
    <t>98-HM-445-721</t>
  </si>
  <si>
    <t>HIGHLAND PARK I</t>
  </si>
  <si>
    <t>Oskaloosa IHA Senior Housing LP</t>
  </si>
  <si>
    <t>98-HM-444-721</t>
  </si>
  <si>
    <t>EAGLE BLUFF PHASE I</t>
  </si>
  <si>
    <t>Fort Madison IHA Senior Housing LP</t>
  </si>
  <si>
    <t>Premier Winneconne, LLC</t>
  </si>
  <si>
    <t>PRAIRIE ROSE</t>
  </si>
  <si>
    <t>Southwest Homebuilders Inc 401 (K) Profit Share</t>
  </si>
  <si>
    <t>Bruce Agenter</t>
  </si>
  <si>
    <t>PINNACLE APTS OF SIOUX CITY</t>
  </si>
  <si>
    <t>98-HMS-663-731</t>
  </si>
  <si>
    <t>STARVIEW APARTMENTS</t>
  </si>
  <si>
    <t>ONAWA</t>
  </si>
  <si>
    <t>Monona</t>
  </si>
  <si>
    <t>ONI LP</t>
  </si>
  <si>
    <t>98-HM-443-731</t>
  </si>
  <si>
    <t>PEBBLE CREEK APARTMENTS</t>
  </si>
  <si>
    <t>Premier Pebble Creek I IA, LLC</t>
  </si>
  <si>
    <t>98-HM-442-731</t>
  </si>
  <si>
    <t>CUMBERLAND HOUSE</t>
  </si>
  <si>
    <t>Cumberland House Associates LP</t>
  </si>
  <si>
    <t>SOUTHBROOK GREEN II APARTMENTS</t>
  </si>
  <si>
    <t>Southbrook Green Apartments II L P</t>
  </si>
  <si>
    <t>99-HM-404-721</t>
  </si>
  <si>
    <t>REGENCY HEIGHTS SENIOR RESIDENCES</t>
  </si>
  <si>
    <t>Regency Heights Iowa City I, LLC</t>
  </si>
  <si>
    <t>97-HMS-446-721</t>
  </si>
  <si>
    <t>LYN CIRCLE TOWNHOMES</t>
  </si>
  <si>
    <t>Mid Iowa Affordable Housing LP</t>
  </si>
  <si>
    <t>98-HMS-447-721</t>
  </si>
  <si>
    <t>CANDLE RIDGE APTS</t>
  </si>
  <si>
    <t>Winterset IV LP</t>
  </si>
  <si>
    <t>ATLANTIC SUNDANCE APARTMENTS</t>
  </si>
  <si>
    <t>Premier Sundance IA, LLC</t>
  </si>
  <si>
    <t>98-HMS-661-731</t>
  </si>
  <si>
    <t>FOREST VIEW APTS</t>
  </si>
  <si>
    <t>Newton Housing Partners LLC</t>
  </si>
  <si>
    <t>98-HMS-660-731</t>
  </si>
  <si>
    <t>WEST FIELD APTS</t>
  </si>
  <si>
    <t>Grinnell Housing Partners LLC</t>
  </si>
  <si>
    <t>98-HMS-659-731</t>
  </si>
  <si>
    <t>RIDGE VIEW APARTMENTS</t>
  </si>
  <si>
    <t>KELLOGG</t>
  </si>
  <si>
    <t>Kellogg Housing Partners LLC</t>
  </si>
  <si>
    <t>98-HMS-658-731</t>
  </si>
  <si>
    <t>GATEWAY APTS</t>
  </si>
  <si>
    <t>MONROE</t>
  </si>
  <si>
    <t>Monroe Housing Partners LLC</t>
  </si>
  <si>
    <t>98-HMS-662-731</t>
  </si>
  <si>
    <t>SHADY CREEK APTS</t>
  </si>
  <si>
    <t>Pella Housing Partners LLC</t>
  </si>
  <si>
    <t>99-HM-406-721</t>
  </si>
  <si>
    <t>HIGHLAND PARK II</t>
  </si>
  <si>
    <t>Oskaloosa IHA II Senior Housing LP</t>
  </si>
  <si>
    <t>99-HM-405-721</t>
  </si>
  <si>
    <t>EAGLE BLUFF APTS PHASE II</t>
  </si>
  <si>
    <t>Fort Madison IHA II Senior Housing LP</t>
  </si>
  <si>
    <t>98-HM-302-731</t>
  </si>
  <si>
    <t>MEYERS MEADOWS INC</t>
  </si>
  <si>
    <t>LISBON</t>
  </si>
  <si>
    <t>Meyers Meadows Inc</t>
  </si>
  <si>
    <t>Steve McElmeel</t>
  </si>
  <si>
    <t>98-HM-441-721</t>
  </si>
  <si>
    <t>CEDAR CREST I, LP</t>
  </si>
  <si>
    <t>Charle City IHA Senior Housing LP</t>
  </si>
  <si>
    <t>99-HM-206-721</t>
  </si>
  <si>
    <t>IVY APARTMENTS</t>
  </si>
  <si>
    <t>Ivy Apartments LP</t>
  </si>
  <si>
    <t>99-HM-411-731</t>
  </si>
  <si>
    <t>PHEASANT HOLLOW APARTMENTS</t>
  </si>
  <si>
    <t>GRUNDY CENTER</t>
  </si>
  <si>
    <t>Grundy</t>
  </si>
  <si>
    <t>Premier Grundy Center IA, LLC</t>
  </si>
  <si>
    <t>99-HM-410-731</t>
  </si>
  <si>
    <t>PHEASANT RUN APTS (IOWA FALLS)</t>
  </si>
  <si>
    <t>Premier Iowa City IA LLC</t>
  </si>
  <si>
    <t>BROOKSIDE SR HOUSING II</t>
  </si>
  <si>
    <t>HURST APARTMENTS PHASE I</t>
  </si>
  <si>
    <t>Maquoketa Housing LP</t>
  </si>
  <si>
    <t>COTTAGE GROVE</t>
  </si>
  <si>
    <t>Muscatine Housing LP</t>
  </si>
  <si>
    <t>99-HM-409-29</t>
  </si>
  <si>
    <t>KROMER FLATS APARTMENTS</t>
  </si>
  <si>
    <t>Kromer Flats LP</t>
  </si>
  <si>
    <t>99-HM-408-731</t>
  </si>
  <si>
    <t>WHITE TAIL RUN</t>
  </si>
  <si>
    <t>Maquoketa IHA Senior Housing LP</t>
  </si>
  <si>
    <t>99-HM-403-731</t>
  </si>
  <si>
    <t>WINDSOR RIDGE</t>
  </si>
  <si>
    <t>SOUTHERN HILLS APTS PHASE II</t>
  </si>
  <si>
    <t>WINNGATE VILLAGE APTS</t>
  </si>
  <si>
    <t>IHC Forest City LP I</t>
  </si>
  <si>
    <t>PINEVIEW APTS</t>
  </si>
  <si>
    <t>Premier Waterloo IA, LLC</t>
  </si>
  <si>
    <t>LYNNWOOD APTS</t>
  </si>
  <si>
    <t>Premier Marion IA, LLC</t>
  </si>
  <si>
    <t>THE ARBOR'S</t>
  </si>
  <si>
    <t>Premier Grinnell IA, LLC</t>
  </si>
  <si>
    <t>DEER RIDGE APTS I</t>
  </si>
  <si>
    <t>River Valley Estates LP</t>
  </si>
  <si>
    <t>99-HM-412-731</t>
  </si>
  <si>
    <t>MEADOW WOOD OF CARROLL PHASE II</t>
  </si>
  <si>
    <t>99-HM-402-731</t>
  </si>
  <si>
    <t>COUNTRYSIDE OF CLINTON</t>
  </si>
  <si>
    <t>Premier Clinton IA, LLC</t>
  </si>
  <si>
    <t>99-HM-401-731</t>
  </si>
  <si>
    <t>MEADOW LAKE APTS</t>
  </si>
  <si>
    <t>Twyla Kuha</t>
  </si>
  <si>
    <t>Premier Meadow Lake IA, LLC</t>
  </si>
  <si>
    <t>01-HM-413-731</t>
  </si>
  <si>
    <t>SHIRE APTS</t>
  </si>
  <si>
    <t>Hickory Lane Partners LP</t>
  </si>
  <si>
    <t>Lewis Weinberg</t>
  </si>
  <si>
    <t>MARTIN TOWER</t>
  </si>
  <si>
    <t>Pierce Street Partners LP</t>
  </si>
  <si>
    <t>99-HM-136-721</t>
  </si>
  <si>
    <t>NEW ALBIN SENIOR HOUSING</t>
  </si>
  <si>
    <t>NEW ALBIN</t>
  </si>
  <si>
    <t>City of New Albin</t>
  </si>
  <si>
    <t>Debra Stantic</t>
  </si>
  <si>
    <t>99-HM-203-35</t>
  </si>
  <si>
    <t>HEARTLAND FAMILY SERVICE</t>
  </si>
  <si>
    <t>99-HM-204-731</t>
  </si>
  <si>
    <t>LEXINGTON SQUARE APTS</t>
  </si>
  <si>
    <t>Operation Threshold</t>
  </si>
  <si>
    <t>Joe Ambrose</t>
  </si>
  <si>
    <t>Barbara Grant</t>
  </si>
  <si>
    <t>99-HM-207-721</t>
  </si>
  <si>
    <t>Manager Contact
Full Name</t>
  </si>
  <si>
    <t>HOME/NHTF Project Number</t>
  </si>
  <si>
    <t>Out of the Program 2022*</t>
  </si>
  <si>
    <t>Out of the Program 2021*</t>
  </si>
  <si>
    <t>Out of the Program 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</si>
</sst>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0" borderId="10" xfId="0" applyBorder="1"/>
    <xf numFmtId="0" fontId="0" fillId="34" borderId="1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6"/>
  <sheetViews>
    <sheetView tabSelected="1" workbookViewId="0">
      <selection activeCell="C6" sqref="C6"/>
    </sheetView>
  </sheetViews>
  <sheetFormatPr defaultRowHeight="14.5" x14ac:dyDescent="0.35"/>
  <cols>
    <col min="1" max="1" width="15.81640625" bestFit="1" customWidth="1"/>
    <col min="2" max="2" width="20.54296875" customWidth="1"/>
    <col min="3" max="3" width="43.90625" bestFit="1" customWidth="1"/>
    <col min="4" max="4" width="19.453125" bestFit="1" customWidth="1"/>
    <col min="5" max="5" width="13.08984375" bestFit="1" customWidth="1"/>
    <col min="6" max="6" width="43.6328125" bestFit="1" customWidth="1"/>
    <col min="7" max="7" width="22.26953125" bestFit="1" customWidth="1"/>
    <col min="8" max="8" width="47.453125" bestFit="1" customWidth="1"/>
    <col min="9" max="9" width="20.7265625" bestFit="1" customWidth="1"/>
    <col min="10" max="10" width="23.81640625" customWidth="1"/>
    <col min="11" max="11" width="15.6328125" customWidth="1"/>
  </cols>
  <sheetData>
    <row r="1" spans="1:11" s="1" customFormat="1" ht="29" x14ac:dyDescent="0.35">
      <c r="A1" s="2" t="s">
        <v>0</v>
      </c>
      <c r="B1" s="2" t="s">
        <v>2061</v>
      </c>
      <c r="C1" s="2" t="s">
        <v>1</v>
      </c>
      <c r="D1" s="2" t="s">
        <v>2</v>
      </c>
      <c r="E1" s="2" t="s">
        <v>3</v>
      </c>
      <c r="F1" s="2" t="s">
        <v>5</v>
      </c>
      <c r="G1" s="2" t="s">
        <v>6</v>
      </c>
      <c r="H1" s="2" t="s">
        <v>4</v>
      </c>
      <c r="I1" s="2" t="s">
        <v>2060</v>
      </c>
      <c r="J1" s="2" t="s">
        <v>7</v>
      </c>
      <c r="K1" s="2" t="s">
        <v>8</v>
      </c>
    </row>
    <row r="2" spans="1:11" x14ac:dyDescent="0.35">
      <c r="A2" s="3" t="s">
        <v>725</v>
      </c>
      <c r="B2" s="3" t="s">
        <v>726</v>
      </c>
      <c r="C2" s="3" t="s">
        <v>727</v>
      </c>
      <c r="D2" s="3" t="s">
        <v>728</v>
      </c>
      <c r="E2" s="3" t="s">
        <v>729</v>
      </c>
      <c r="F2" s="3" t="s">
        <v>732</v>
      </c>
      <c r="G2" s="3" t="s">
        <v>732</v>
      </c>
      <c r="H2" s="3" t="s">
        <v>730</v>
      </c>
      <c r="I2" s="3" t="s">
        <v>731</v>
      </c>
      <c r="J2" s="3" t="s">
        <v>44</v>
      </c>
      <c r="K2" s="3" t="str">
        <f>"319-594-8382"</f>
        <v>319-594-8382</v>
      </c>
    </row>
    <row r="3" spans="1:11" x14ac:dyDescent="0.35">
      <c r="A3" s="3" t="s">
        <v>531</v>
      </c>
      <c r="B3" s="3" t="s">
        <v>532</v>
      </c>
      <c r="C3" s="3" t="s">
        <v>533</v>
      </c>
      <c r="D3" s="3" t="s">
        <v>534</v>
      </c>
      <c r="E3" s="3" t="s">
        <v>71</v>
      </c>
      <c r="F3" s="3" t="s">
        <v>537</v>
      </c>
      <c r="G3" s="3" t="s">
        <v>538</v>
      </c>
      <c r="H3" s="3" t="s">
        <v>535</v>
      </c>
      <c r="I3" s="3" t="s">
        <v>536</v>
      </c>
      <c r="J3" s="3" t="s">
        <v>44</v>
      </c>
      <c r="K3" s="3" t="str">
        <f>"319-372-5536"</f>
        <v>319-372-5536</v>
      </c>
    </row>
    <row r="4" spans="1:11" x14ac:dyDescent="0.35">
      <c r="A4" s="3" t="str">
        <f>"13-13-31"</f>
        <v>13-13-31</v>
      </c>
      <c r="B4" s="3"/>
      <c r="C4" s="3" t="s">
        <v>1206</v>
      </c>
      <c r="D4" s="3" t="s">
        <v>503</v>
      </c>
      <c r="E4" s="3" t="s">
        <v>504</v>
      </c>
      <c r="F4" s="3" t="s">
        <v>1209</v>
      </c>
      <c r="G4" s="3" t="s">
        <v>1210</v>
      </c>
      <c r="H4" s="3" t="s">
        <v>1207</v>
      </c>
      <c r="I4" s="3" t="s">
        <v>1208</v>
      </c>
      <c r="J4" s="3" t="s">
        <v>87</v>
      </c>
      <c r="K4" s="3" t="str">
        <f>"507-836-1602"</f>
        <v>507-836-1602</v>
      </c>
    </row>
    <row r="5" spans="1:11" x14ac:dyDescent="0.35">
      <c r="A5" s="3" t="s">
        <v>733</v>
      </c>
      <c r="B5" s="3" t="s">
        <v>726</v>
      </c>
      <c r="C5" s="3" t="s">
        <v>734</v>
      </c>
      <c r="D5" s="3" t="s">
        <v>728</v>
      </c>
      <c r="E5" s="3" t="s">
        <v>729</v>
      </c>
      <c r="F5" s="3" t="s">
        <v>735</v>
      </c>
      <c r="G5" s="3" t="s">
        <v>735</v>
      </c>
      <c r="H5" s="3" t="s">
        <v>730</v>
      </c>
      <c r="I5" s="3" t="s">
        <v>731</v>
      </c>
      <c r="J5" s="3" t="s">
        <v>44</v>
      </c>
      <c r="K5" s="3" t="str">
        <f>"319-385-7472"</f>
        <v>319-385-7472</v>
      </c>
    </row>
    <row r="6" spans="1:11" x14ac:dyDescent="0.35">
      <c r="A6" s="3" t="s">
        <v>1029</v>
      </c>
      <c r="B6" s="3" t="s">
        <v>1029</v>
      </c>
      <c r="C6" s="3" t="s">
        <v>734</v>
      </c>
      <c r="D6" s="3" t="s">
        <v>728</v>
      </c>
      <c r="E6" s="3" t="s">
        <v>729</v>
      </c>
      <c r="F6" s="3" t="s">
        <v>1030</v>
      </c>
      <c r="G6" s="3" t="s">
        <v>1030</v>
      </c>
      <c r="H6" s="3" t="s">
        <v>730</v>
      </c>
      <c r="I6" s="3" t="s">
        <v>731</v>
      </c>
      <c r="J6" s="3" t="s">
        <v>44</v>
      </c>
      <c r="K6" s="3" t="str">
        <f>"319-385-3522"</f>
        <v>319-385-3522</v>
      </c>
    </row>
    <row r="7" spans="1:11" x14ac:dyDescent="0.35">
      <c r="A7" s="3" t="str">
        <f>"90-56"</f>
        <v>90-56</v>
      </c>
      <c r="B7" s="3"/>
      <c r="C7" s="3" t="s">
        <v>1536</v>
      </c>
      <c r="D7" s="3" t="s">
        <v>159</v>
      </c>
      <c r="E7" s="3" t="s">
        <v>160</v>
      </c>
      <c r="F7" s="3" t="s">
        <v>1534</v>
      </c>
      <c r="G7" s="3" t="s">
        <v>1535</v>
      </c>
      <c r="H7" s="3" t="s">
        <v>1534</v>
      </c>
      <c r="I7" s="3" t="s">
        <v>1535</v>
      </c>
      <c r="J7" s="3" t="s">
        <v>44</v>
      </c>
      <c r="K7" s="3" t="str">
        <f>"515-276-7653"</f>
        <v>515-276-7653</v>
      </c>
    </row>
    <row r="8" spans="1:11" x14ac:dyDescent="0.35">
      <c r="A8" s="3" t="s">
        <v>1227</v>
      </c>
      <c r="B8" s="3" t="s">
        <v>1227</v>
      </c>
      <c r="C8" s="3" t="s">
        <v>1228</v>
      </c>
      <c r="D8" s="3" t="s">
        <v>110</v>
      </c>
      <c r="E8" s="3" t="s">
        <v>111</v>
      </c>
      <c r="F8" s="3" t="s">
        <v>259</v>
      </c>
      <c r="G8" s="3" t="s">
        <v>262</v>
      </c>
      <c r="H8" s="3" t="s">
        <v>259</v>
      </c>
      <c r="I8" s="3" t="s">
        <v>260</v>
      </c>
      <c r="J8" s="3" t="s">
        <v>16</v>
      </c>
      <c r="K8" s="3" t="str">
        <f>"319-784-2030"</f>
        <v>319-784-2030</v>
      </c>
    </row>
    <row r="9" spans="1:11" x14ac:dyDescent="0.35">
      <c r="A9" s="3" t="str">
        <f>"90-55"</f>
        <v>90-55</v>
      </c>
      <c r="B9" s="3"/>
      <c r="C9" s="3" t="s">
        <v>1533</v>
      </c>
      <c r="D9" s="3" t="s">
        <v>159</v>
      </c>
      <c r="E9" s="3" t="s">
        <v>160</v>
      </c>
      <c r="F9" s="3" t="s">
        <v>1534</v>
      </c>
      <c r="G9" s="3" t="s">
        <v>1535</v>
      </c>
      <c r="H9" s="3" t="s">
        <v>1534</v>
      </c>
      <c r="I9" s="3" t="s">
        <v>1535</v>
      </c>
      <c r="J9" s="3" t="s">
        <v>44</v>
      </c>
      <c r="K9" s="3" t="str">
        <f>"515-276-7653"</f>
        <v>515-276-7653</v>
      </c>
    </row>
    <row r="10" spans="1:11" x14ac:dyDescent="0.35">
      <c r="A10" s="3" t="str">
        <f>"90-57"</f>
        <v>90-57</v>
      </c>
      <c r="B10" s="3"/>
      <c r="C10" s="3" t="s">
        <v>1537</v>
      </c>
      <c r="D10" s="3" t="s">
        <v>159</v>
      </c>
      <c r="E10" s="3" t="s">
        <v>160</v>
      </c>
      <c r="F10" s="3" t="s">
        <v>1538</v>
      </c>
      <c r="G10" s="3" t="s">
        <v>1539</v>
      </c>
      <c r="H10" s="3" t="s">
        <v>1538</v>
      </c>
      <c r="I10" s="3" t="s">
        <v>1539</v>
      </c>
      <c r="J10" s="3" t="s">
        <v>44</v>
      </c>
      <c r="K10" s="3" t="str">
        <f>"515-447-7489"</f>
        <v>515-447-7489</v>
      </c>
    </row>
    <row r="11" spans="1:11" x14ac:dyDescent="0.35">
      <c r="A11" s="3" t="s">
        <v>1233</v>
      </c>
      <c r="B11" s="3" t="s">
        <v>1233</v>
      </c>
      <c r="C11" s="3" t="s">
        <v>1234</v>
      </c>
      <c r="D11" s="3" t="s">
        <v>110</v>
      </c>
      <c r="E11" s="3" t="s">
        <v>111</v>
      </c>
      <c r="F11" s="3" t="s">
        <v>259</v>
      </c>
      <c r="G11" s="3" t="s">
        <v>262</v>
      </c>
      <c r="H11" s="3" t="s">
        <v>259</v>
      </c>
      <c r="I11" s="3" t="s">
        <v>260</v>
      </c>
      <c r="J11" s="3" t="s">
        <v>16</v>
      </c>
      <c r="K11" s="3" t="str">
        <f>"319-784-2030"</f>
        <v>319-784-2030</v>
      </c>
    </row>
    <row r="12" spans="1:11" x14ac:dyDescent="0.35">
      <c r="A12" s="3" t="s">
        <v>1035</v>
      </c>
      <c r="B12" s="3" t="s">
        <v>1036</v>
      </c>
      <c r="C12" s="3" t="s">
        <v>1037</v>
      </c>
      <c r="D12" s="3" t="s">
        <v>179</v>
      </c>
      <c r="E12" s="3" t="s">
        <v>43</v>
      </c>
      <c r="F12" s="3" t="s">
        <v>1038</v>
      </c>
      <c r="G12" s="3" t="s">
        <v>1039</v>
      </c>
      <c r="H12" s="3" t="s">
        <v>552</v>
      </c>
      <c r="I12" s="3" t="s">
        <v>553</v>
      </c>
      <c r="J12" s="3" t="s">
        <v>44</v>
      </c>
      <c r="K12" s="3" t="str">
        <f>"319-753-6929"</f>
        <v>319-753-6929</v>
      </c>
    </row>
    <row r="13" spans="1:11" x14ac:dyDescent="0.35">
      <c r="A13" s="3" t="s">
        <v>549</v>
      </c>
      <c r="B13" s="3" t="s">
        <v>550</v>
      </c>
      <c r="C13" s="3" t="s">
        <v>551</v>
      </c>
      <c r="D13" s="3" t="s">
        <v>179</v>
      </c>
      <c r="E13" s="3" t="s">
        <v>43</v>
      </c>
      <c r="F13" s="3" t="s">
        <v>554</v>
      </c>
      <c r="G13" s="3" t="s">
        <v>555</v>
      </c>
      <c r="H13" s="3" t="s">
        <v>552</v>
      </c>
      <c r="I13" s="3" t="s">
        <v>553</v>
      </c>
      <c r="J13" s="3" t="s">
        <v>44</v>
      </c>
      <c r="K13" s="3" t="str">
        <f>"319-759-6903"</f>
        <v>319-759-6903</v>
      </c>
    </row>
    <row r="14" spans="1:11" x14ac:dyDescent="0.35">
      <c r="A14" s="3" t="s">
        <v>1040</v>
      </c>
      <c r="B14" s="3" t="s">
        <v>1036</v>
      </c>
      <c r="C14" s="3" t="s">
        <v>1041</v>
      </c>
      <c r="D14" s="3" t="s">
        <v>179</v>
      </c>
      <c r="E14" s="3" t="s">
        <v>43</v>
      </c>
      <c r="F14" s="3" t="s">
        <v>1042</v>
      </c>
      <c r="G14" s="3" t="s">
        <v>1043</v>
      </c>
      <c r="H14" s="3" t="s">
        <v>552</v>
      </c>
      <c r="I14" s="3" t="s">
        <v>553</v>
      </c>
      <c r="J14" s="3" t="s">
        <v>44</v>
      </c>
      <c r="K14" s="3" t="str">
        <f>"319-750-8920"</f>
        <v>319-750-8920</v>
      </c>
    </row>
    <row r="15" spans="1:11" x14ac:dyDescent="0.35">
      <c r="A15" s="3" t="str">
        <f>"16-30"</f>
        <v>16-30</v>
      </c>
      <c r="B15" s="3"/>
      <c r="C15" s="3" t="s">
        <v>1390</v>
      </c>
      <c r="D15" s="3" t="s">
        <v>141</v>
      </c>
      <c r="E15" s="3" t="s">
        <v>142</v>
      </c>
      <c r="F15" s="3" t="s">
        <v>1391</v>
      </c>
      <c r="G15" s="3" t="s">
        <v>963</v>
      </c>
      <c r="H15" s="3" t="s">
        <v>960</v>
      </c>
      <c r="I15" s="3" t="s">
        <v>961</v>
      </c>
      <c r="J15" s="3" t="s">
        <v>78</v>
      </c>
      <c r="K15" s="3" t="str">
        <f>"513-964-1140"</f>
        <v>513-964-1140</v>
      </c>
    </row>
    <row r="16" spans="1:11" x14ac:dyDescent="0.35">
      <c r="A16" s="3" t="s">
        <v>539</v>
      </c>
      <c r="B16" s="3" t="s">
        <v>532</v>
      </c>
      <c r="C16" s="3" t="s">
        <v>540</v>
      </c>
      <c r="D16" s="3" t="s">
        <v>534</v>
      </c>
      <c r="E16" s="3" t="s">
        <v>71</v>
      </c>
      <c r="F16" s="3" t="s">
        <v>541</v>
      </c>
      <c r="G16" s="3" t="s">
        <v>541</v>
      </c>
      <c r="H16" s="3" t="s">
        <v>535</v>
      </c>
      <c r="I16" s="3" t="s">
        <v>536</v>
      </c>
      <c r="J16" s="3" t="s">
        <v>44</v>
      </c>
      <c r="K16" s="3" t="str">
        <f>"319-470-8711"</f>
        <v>319-470-8711</v>
      </c>
    </row>
    <row r="17" spans="1:11" x14ac:dyDescent="0.35">
      <c r="A17" s="3" t="s">
        <v>1044</v>
      </c>
      <c r="B17" s="3" t="s">
        <v>1036</v>
      </c>
      <c r="C17" s="3" t="s">
        <v>1045</v>
      </c>
      <c r="D17" s="3" t="s">
        <v>179</v>
      </c>
      <c r="E17" s="3" t="s">
        <v>43</v>
      </c>
      <c r="F17" s="3" t="s">
        <v>558</v>
      </c>
      <c r="G17" s="3" t="s">
        <v>559</v>
      </c>
      <c r="H17" s="3" t="s">
        <v>552</v>
      </c>
      <c r="I17" s="3" t="s">
        <v>553</v>
      </c>
      <c r="J17" s="3" t="s">
        <v>44</v>
      </c>
      <c r="K17" s="3" t="str">
        <f>"319-572-2303"</f>
        <v>319-572-2303</v>
      </c>
    </row>
    <row r="18" spans="1:11" x14ac:dyDescent="0.35">
      <c r="A18" s="3" t="s">
        <v>556</v>
      </c>
      <c r="B18" s="3" t="s">
        <v>550</v>
      </c>
      <c r="C18" s="3" t="s">
        <v>557</v>
      </c>
      <c r="D18" s="3" t="s">
        <v>179</v>
      </c>
      <c r="E18" s="3" t="s">
        <v>43</v>
      </c>
      <c r="F18" s="3" t="s">
        <v>558</v>
      </c>
      <c r="G18" s="3" t="s">
        <v>559</v>
      </c>
      <c r="H18" s="3" t="s">
        <v>552</v>
      </c>
      <c r="I18" s="3" t="s">
        <v>553</v>
      </c>
      <c r="J18" s="3" t="s">
        <v>44</v>
      </c>
      <c r="K18" s="3" t="str">
        <f>"319-572-2303"</f>
        <v>319-572-2303</v>
      </c>
    </row>
    <row r="19" spans="1:11" x14ac:dyDescent="0.35">
      <c r="A19" s="3" t="s">
        <v>560</v>
      </c>
      <c r="B19" s="3" t="s">
        <v>550</v>
      </c>
      <c r="C19" s="3" t="s">
        <v>561</v>
      </c>
      <c r="D19" s="3" t="s">
        <v>179</v>
      </c>
      <c r="E19" s="3" t="s">
        <v>43</v>
      </c>
      <c r="F19" s="3" t="s">
        <v>562</v>
      </c>
      <c r="G19" s="3" t="s">
        <v>563</v>
      </c>
      <c r="H19" s="3" t="s">
        <v>552</v>
      </c>
      <c r="I19" s="3" t="s">
        <v>553</v>
      </c>
      <c r="J19" s="3" t="s">
        <v>44</v>
      </c>
      <c r="K19" s="3" t="str">
        <f>"319-750-4598"</f>
        <v>319-750-4598</v>
      </c>
    </row>
    <row r="20" spans="1:11" x14ac:dyDescent="0.35">
      <c r="A20" s="3" t="s">
        <v>1046</v>
      </c>
      <c r="B20" s="3" t="s">
        <v>1036</v>
      </c>
      <c r="C20" s="3" t="s">
        <v>1047</v>
      </c>
      <c r="D20" s="3" t="s">
        <v>179</v>
      </c>
      <c r="E20" s="3" t="s">
        <v>43</v>
      </c>
      <c r="F20" s="3" t="s">
        <v>1048</v>
      </c>
      <c r="G20" s="3" t="s">
        <v>1049</v>
      </c>
      <c r="H20" s="3" t="s">
        <v>552</v>
      </c>
      <c r="I20" s="3" t="s">
        <v>553</v>
      </c>
      <c r="J20" s="3" t="s">
        <v>44</v>
      </c>
      <c r="K20" s="3" t="str">
        <f>"319-759-5711"</f>
        <v>319-759-5711</v>
      </c>
    </row>
    <row r="21" spans="1:11" x14ac:dyDescent="0.35">
      <c r="A21" s="3" t="s">
        <v>721</v>
      </c>
      <c r="B21" s="3" t="s">
        <v>722</v>
      </c>
      <c r="C21" s="3" t="s">
        <v>723</v>
      </c>
      <c r="D21" s="3" t="s">
        <v>534</v>
      </c>
      <c r="E21" s="3" t="s">
        <v>71</v>
      </c>
      <c r="F21" s="3" t="s">
        <v>724</v>
      </c>
      <c r="G21" s="3" t="s">
        <v>724</v>
      </c>
      <c r="H21" s="3" t="s">
        <v>535</v>
      </c>
      <c r="I21" s="3" t="s">
        <v>536</v>
      </c>
      <c r="J21" s="3" t="s">
        <v>44</v>
      </c>
      <c r="K21" s="3" t="str">
        <f>"319-520-5904"</f>
        <v>319-520-5904</v>
      </c>
    </row>
    <row r="22" spans="1:11" x14ac:dyDescent="0.35">
      <c r="A22" s="3" t="s">
        <v>542</v>
      </c>
      <c r="B22" s="3" t="s">
        <v>532</v>
      </c>
      <c r="C22" s="3" t="s">
        <v>543</v>
      </c>
      <c r="D22" s="3" t="s">
        <v>534</v>
      </c>
      <c r="E22" s="3" t="s">
        <v>71</v>
      </c>
      <c r="F22" s="3" t="s">
        <v>544</v>
      </c>
      <c r="G22" s="3" t="s">
        <v>545</v>
      </c>
      <c r="H22" s="3" t="s">
        <v>535</v>
      </c>
      <c r="I22" s="3" t="s">
        <v>536</v>
      </c>
      <c r="J22" s="3" t="s">
        <v>44</v>
      </c>
      <c r="K22" s="3" t="str">
        <f>"319-470-0629"</f>
        <v>319-470-0629</v>
      </c>
    </row>
    <row r="23" spans="1:11" x14ac:dyDescent="0.35">
      <c r="A23" s="3" t="str">
        <f>"10-10-257"</f>
        <v>10-10-257</v>
      </c>
      <c r="B23" s="3"/>
      <c r="C23" s="3" t="s">
        <v>992</v>
      </c>
      <c r="D23" s="3" t="s">
        <v>993</v>
      </c>
      <c r="E23" s="3" t="s">
        <v>245</v>
      </c>
      <c r="F23" s="3" t="s">
        <v>994</v>
      </c>
      <c r="G23" s="3" t="s">
        <v>108</v>
      </c>
      <c r="H23" s="3" t="s">
        <v>83</v>
      </c>
      <c r="I23" s="3" t="s">
        <v>84</v>
      </c>
      <c r="J23" s="3" t="s">
        <v>87</v>
      </c>
      <c r="K23" s="3" t="str">
        <f>"712-580-5360"</f>
        <v>712-580-5360</v>
      </c>
    </row>
    <row r="24" spans="1:11" x14ac:dyDescent="0.35">
      <c r="A24" s="3" t="str">
        <f>"17-17"</f>
        <v>17-17</v>
      </c>
      <c r="B24" s="3"/>
      <c r="C24" s="3" t="s">
        <v>1418</v>
      </c>
      <c r="D24" s="3" t="s">
        <v>173</v>
      </c>
      <c r="E24" s="3" t="s">
        <v>174</v>
      </c>
      <c r="F24" s="3" t="s">
        <v>1419</v>
      </c>
      <c r="G24" s="3" t="s">
        <v>15</v>
      </c>
      <c r="H24" s="3" t="s">
        <v>12</v>
      </c>
      <c r="I24" s="3" t="s">
        <v>13</v>
      </c>
      <c r="J24" s="3" t="s">
        <v>16</v>
      </c>
      <c r="K24" s="3" t="str">
        <f>"608-348-7755"</f>
        <v>608-348-7755</v>
      </c>
    </row>
    <row r="25" spans="1:11" x14ac:dyDescent="0.35">
      <c r="A25" s="3" t="str">
        <f>"13-13-26"</f>
        <v>13-13-26</v>
      </c>
      <c r="B25" s="3"/>
      <c r="C25" s="3" t="s">
        <v>1202</v>
      </c>
      <c r="D25" s="3" t="s">
        <v>81</v>
      </c>
      <c r="E25" s="3" t="s">
        <v>82</v>
      </c>
      <c r="F25" s="3" t="s">
        <v>1203</v>
      </c>
      <c r="G25" s="3" t="s">
        <v>15</v>
      </c>
      <c r="H25" s="3" t="s">
        <v>12</v>
      </c>
      <c r="I25" s="3" t="s">
        <v>13</v>
      </c>
      <c r="J25" s="3" t="s">
        <v>16</v>
      </c>
      <c r="K25" s="3" t="str">
        <f>"608-348-7755"</f>
        <v>608-348-7755</v>
      </c>
    </row>
    <row r="26" spans="1:11" x14ac:dyDescent="0.35">
      <c r="A26" s="3" t="str">
        <f>"08-0912"</f>
        <v>08-0912</v>
      </c>
      <c r="B26" s="3" t="s">
        <v>798</v>
      </c>
      <c r="C26" s="3" t="s">
        <v>799</v>
      </c>
      <c r="D26" s="3" t="s">
        <v>57</v>
      </c>
      <c r="E26" s="3" t="s">
        <v>58</v>
      </c>
      <c r="F26" s="3" t="s">
        <v>800</v>
      </c>
      <c r="G26" s="3" t="s">
        <v>801</v>
      </c>
      <c r="H26" s="3" t="s">
        <v>118</v>
      </c>
      <c r="I26" s="3" t="s">
        <v>119</v>
      </c>
      <c r="J26" s="3" t="s">
        <v>31</v>
      </c>
      <c r="K26" s="3" t="str">
        <f>"319-358-9212"</f>
        <v>319-358-9212</v>
      </c>
    </row>
    <row r="27" spans="1:11" x14ac:dyDescent="0.35">
      <c r="A27" s="3" t="str">
        <f>"05-36"</f>
        <v>05-36</v>
      </c>
      <c r="B27" s="3" t="s">
        <v>524</v>
      </c>
      <c r="C27" s="3" t="s">
        <v>525</v>
      </c>
      <c r="D27" s="3" t="s">
        <v>47</v>
      </c>
      <c r="E27" s="3" t="s">
        <v>48</v>
      </c>
      <c r="F27" s="3" t="s">
        <v>526</v>
      </c>
      <c r="G27" s="3" t="s">
        <v>42</v>
      </c>
      <c r="H27" s="3" t="s">
        <v>39</v>
      </c>
      <c r="I27" s="3" t="s">
        <v>40</v>
      </c>
      <c r="J27" s="3" t="s">
        <v>44</v>
      </c>
      <c r="K27" s="3" t="str">
        <f>"515-262-5965"</f>
        <v>515-262-5965</v>
      </c>
    </row>
    <row r="28" spans="1:11" x14ac:dyDescent="0.35">
      <c r="A28" s="3" t="str">
        <f>"95-27"</f>
        <v>95-27</v>
      </c>
      <c r="B28" s="3"/>
      <c r="C28" s="3" t="s">
        <v>1752</v>
      </c>
      <c r="D28" s="3" t="s">
        <v>110</v>
      </c>
      <c r="E28" s="3" t="s">
        <v>111</v>
      </c>
      <c r="F28" s="3" t="s">
        <v>1753</v>
      </c>
      <c r="G28" s="3" t="s">
        <v>1754</v>
      </c>
      <c r="H28" s="3" t="s">
        <v>1607</v>
      </c>
      <c r="I28" s="3" t="s">
        <v>1608</v>
      </c>
      <c r="J28" s="3" t="s">
        <v>87</v>
      </c>
      <c r="K28" s="3" t="str">
        <f>"319-350-5378"</f>
        <v>319-350-5378</v>
      </c>
    </row>
    <row r="29" spans="1:11" x14ac:dyDescent="0.35">
      <c r="A29" s="3" t="str">
        <f>"93-45"</f>
        <v>93-45</v>
      </c>
      <c r="B29" s="3"/>
      <c r="C29" s="3" t="s">
        <v>1691</v>
      </c>
      <c r="D29" s="3" t="s">
        <v>18</v>
      </c>
      <c r="E29" s="3" t="s">
        <v>19</v>
      </c>
      <c r="F29" s="3" t="s">
        <v>1692</v>
      </c>
      <c r="G29" s="3" t="s">
        <v>1693</v>
      </c>
      <c r="H29" s="3" t="s">
        <v>888</v>
      </c>
      <c r="I29" s="3" t="s">
        <v>889</v>
      </c>
      <c r="J29" s="3" t="s">
        <v>78</v>
      </c>
      <c r="K29" s="3" t="str">
        <f>"563-556-2921"</f>
        <v>563-556-2921</v>
      </c>
    </row>
    <row r="30" spans="1:11" x14ac:dyDescent="0.35">
      <c r="A30" s="3" t="str">
        <f>"09-0942"</f>
        <v>09-0942</v>
      </c>
      <c r="B30" s="3"/>
      <c r="C30" s="3" t="s">
        <v>887</v>
      </c>
      <c r="D30" s="3" t="s">
        <v>18</v>
      </c>
      <c r="E30" s="3" t="s">
        <v>19</v>
      </c>
      <c r="F30" s="3" t="s">
        <v>890</v>
      </c>
      <c r="G30" s="3" t="s">
        <v>889</v>
      </c>
      <c r="H30" s="3" t="s">
        <v>888</v>
      </c>
      <c r="I30" s="3" t="s">
        <v>889</v>
      </c>
      <c r="J30" s="3" t="s">
        <v>78</v>
      </c>
      <c r="K30" s="3" t="str">
        <f>"608-354-0900"</f>
        <v>608-354-0900</v>
      </c>
    </row>
    <row r="31" spans="1:11" x14ac:dyDescent="0.35">
      <c r="A31" s="3" t="str">
        <f>"16-01"</f>
        <v>16-01</v>
      </c>
      <c r="B31" s="3"/>
      <c r="C31" s="3" t="s">
        <v>1363</v>
      </c>
      <c r="D31" s="3" t="s">
        <v>18</v>
      </c>
      <c r="E31" s="3" t="s">
        <v>19</v>
      </c>
      <c r="F31" s="3" t="s">
        <v>1364</v>
      </c>
      <c r="G31" s="3" t="s">
        <v>889</v>
      </c>
      <c r="H31" s="3" t="s">
        <v>888</v>
      </c>
      <c r="I31" s="3" t="s">
        <v>889</v>
      </c>
      <c r="J31" s="3" t="s">
        <v>78</v>
      </c>
      <c r="K31" s="3" t="str">
        <f>"608-354-0900"</f>
        <v>608-354-0900</v>
      </c>
    </row>
    <row r="32" spans="1:11" x14ac:dyDescent="0.35">
      <c r="A32" s="3" t="str">
        <f>"94-53"</f>
        <v>94-53</v>
      </c>
      <c r="B32" s="3"/>
      <c r="C32" s="3" t="s">
        <v>1729</v>
      </c>
      <c r="D32" s="3" t="s">
        <v>18</v>
      </c>
      <c r="E32" s="3" t="s">
        <v>19</v>
      </c>
      <c r="F32" s="3" t="s">
        <v>1692</v>
      </c>
      <c r="G32" s="3" t="s">
        <v>1693</v>
      </c>
      <c r="H32" s="3" t="s">
        <v>888</v>
      </c>
      <c r="I32" s="3" t="s">
        <v>889</v>
      </c>
      <c r="J32" s="3" t="s">
        <v>78</v>
      </c>
      <c r="K32" s="3" t="str">
        <f>"563-556-2921"</f>
        <v>563-556-2921</v>
      </c>
    </row>
    <row r="33" spans="1:11" x14ac:dyDescent="0.35">
      <c r="A33" s="3" t="str">
        <f>"87-06"</f>
        <v>87-06</v>
      </c>
      <c r="B33" s="3"/>
      <c r="C33" s="3" t="s">
        <v>1458</v>
      </c>
      <c r="D33" s="3" t="s">
        <v>47</v>
      </c>
      <c r="E33" s="3" t="s">
        <v>48</v>
      </c>
      <c r="F33" s="3" t="s">
        <v>1461</v>
      </c>
      <c r="G33" s="3" t="s">
        <v>1462</v>
      </c>
      <c r="H33" s="3" t="s">
        <v>1459</v>
      </c>
      <c r="I33" s="3" t="s">
        <v>1460</v>
      </c>
      <c r="J33" s="3" t="s">
        <v>44</v>
      </c>
      <c r="K33" s="3" t="str">
        <f>"515-281-7369"</f>
        <v>515-281-7369</v>
      </c>
    </row>
    <row r="34" spans="1:11" x14ac:dyDescent="0.35">
      <c r="A34" s="3" t="str">
        <f>"02-17"</f>
        <v>02-17</v>
      </c>
      <c r="B34" s="3"/>
      <c r="C34" s="3" t="s">
        <v>232</v>
      </c>
      <c r="D34" s="3" t="s">
        <v>18</v>
      </c>
      <c r="E34" s="3" t="s">
        <v>19</v>
      </c>
      <c r="F34" s="3" t="s">
        <v>235</v>
      </c>
      <c r="G34" s="3" t="s">
        <v>236</v>
      </c>
      <c r="H34" s="3" t="s">
        <v>233</v>
      </c>
      <c r="I34" s="3" t="s">
        <v>234</v>
      </c>
      <c r="J34" s="3" t="s">
        <v>31</v>
      </c>
      <c r="K34" s="3" t="str">
        <f>"563-590-2351"</f>
        <v>563-590-2351</v>
      </c>
    </row>
    <row r="35" spans="1:11" x14ac:dyDescent="0.35">
      <c r="A35" s="3" t="str">
        <f>"90-49"</f>
        <v>90-49</v>
      </c>
      <c r="B35" s="3"/>
      <c r="C35" s="3" t="s">
        <v>1522</v>
      </c>
      <c r="D35" s="3" t="s">
        <v>1523</v>
      </c>
      <c r="E35" s="3" t="s">
        <v>104</v>
      </c>
      <c r="F35" s="3" t="s">
        <v>1520</v>
      </c>
      <c r="G35" s="3" t="s">
        <v>1521</v>
      </c>
      <c r="H35" s="3" t="s">
        <v>105</v>
      </c>
      <c r="I35" s="3" t="s">
        <v>106</v>
      </c>
      <c r="J35" s="3" t="s">
        <v>87</v>
      </c>
      <c r="K35" s="3" t="str">
        <f>"712-363-5430"</f>
        <v>712-363-5430</v>
      </c>
    </row>
    <row r="36" spans="1:11" x14ac:dyDescent="0.35">
      <c r="A36" s="3" t="str">
        <f>"05-33"</f>
        <v>05-33</v>
      </c>
      <c r="B36" s="3" t="s">
        <v>516</v>
      </c>
      <c r="C36" s="3" t="s">
        <v>517</v>
      </c>
      <c r="D36" s="3" t="s">
        <v>141</v>
      </c>
      <c r="E36" s="3" t="s">
        <v>142</v>
      </c>
      <c r="F36" s="3" t="s">
        <v>518</v>
      </c>
      <c r="G36" s="3" t="s">
        <v>42</v>
      </c>
      <c r="H36" s="3" t="s">
        <v>39</v>
      </c>
      <c r="I36" s="3" t="s">
        <v>40</v>
      </c>
      <c r="J36" s="3" t="s">
        <v>44</v>
      </c>
      <c r="K36" s="3" t="str">
        <f>"515-262-5965"</f>
        <v>515-262-5965</v>
      </c>
    </row>
    <row r="37" spans="1:11" x14ac:dyDescent="0.35">
      <c r="A37" s="3" t="str">
        <f>"05-05"</f>
        <v>05-05</v>
      </c>
      <c r="B37" s="3" t="s">
        <v>475</v>
      </c>
      <c r="C37" s="3" t="s">
        <v>476</v>
      </c>
      <c r="D37" s="3" t="s">
        <v>477</v>
      </c>
      <c r="E37" s="3" t="s">
        <v>19</v>
      </c>
      <c r="F37" s="3" t="s">
        <v>478</v>
      </c>
      <c r="G37" s="3" t="s">
        <v>332</v>
      </c>
      <c r="H37" s="3" t="s">
        <v>329</v>
      </c>
      <c r="I37" s="3" t="s">
        <v>330</v>
      </c>
      <c r="J37" s="3" t="s">
        <v>78</v>
      </c>
      <c r="K37" s="3" t="str">
        <f>"563-556-4166"</f>
        <v>563-556-4166</v>
      </c>
    </row>
    <row r="38" spans="1:11" x14ac:dyDescent="0.35">
      <c r="A38" s="3" t="str">
        <f>"91-23"</f>
        <v>91-23</v>
      </c>
      <c r="B38" s="3"/>
      <c r="C38" s="3" t="s">
        <v>1565</v>
      </c>
      <c r="D38" s="3" t="s">
        <v>1058</v>
      </c>
      <c r="E38" s="3" t="s">
        <v>160</v>
      </c>
      <c r="F38" s="3" t="s">
        <v>1568</v>
      </c>
      <c r="G38" s="3" t="s">
        <v>1569</v>
      </c>
      <c r="H38" s="3" t="s">
        <v>1566</v>
      </c>
      <c r="I38" s="3" t="s">
        <v>1567</v>
      </c>
      <c r="J38" s="3" t="s">
        <v>78</v>
      </c>
      <c r="K38" s="3" t="str">
        <f>"515-598-2791"</f>
        <v>515-598-2791</v>
      </c>
    </row>
    <row r="39" spans="1:11" x14ac:dyDescent="0.35">
      <c r="A39" s="3" t="str">
        <f>"17-14"</f>
        <v>17-14</v>
      </c>
      <c r="B39" s="3"/>
      <c r="C39" s="3" t="s">
        <v>1414</v>
      </c>
      <c r="D39" s="3" t="s">
        <v>110</v>
      </c>
      <c r="E39" s="3" t="s">
        <v>111</v>
      </c>
      <c r="F39" s="3" t="s">
        <v>1415</v>
      </c>
      <c r="G39" s="3" t="s">
        <v>162</v>
      </c>
      <c r="H39" s="3" t="s">
        <v>286</v>
      </c>
      <c r="I39" s="3" t="s">
        <v>1294</v>
      </c>
      <c r="J39" s="3" t="s">
        <v>16</v>
      </c>
      <c r="K39" s="3" t="str">
        <f>"515-244-8308"</f>
        <v>515-244-8308</v>
      </c>
    </row>
    <row r="40" spans="1:11" x14ac:dyDescent="0.35">
      <c r="A40" s="3" t="str">
        <f>"98-69"</f>
        <v>98-69</v>
      </c>
      <c r="B40" s="3"/>
      <c r="C40" s="3" t="s">
        <v>1964</v>
      </c>
      <c r="D40" s="3" t="s">
        <v>1243</v>
      </c>
      <c r="E40" s="3" t="s">
        <v>1244</v>
      </c>
      <c r="F40" s="3" t="s">
        <v>1965</v>
      </c>
      <c r="G40" s="3" t="s">
        <v>247</v>
      </c>
      <c r="H40" s="3" t="s">
        <v>246</v>
      </c>
      <c r="I40" s="3" t="s">
        <v>247</v>
      </c>
      <c r="J40" s="3" t="s">
        <v>16</v>
      </c>
      <c r="K40" s="3" t="str">
        <f>"262-790-4560"</f>
        <v>262-790-4560</v>
      </c>
    </row>
    <row r="41" spans="1:11" x14ac:dyDescent="0.35">
      <c r="A41" s="3" t="str">
        <f>"12-12-35"</f>
        <v>12-12-35</v>
      </c>
      <c r="B41" s="3"/>
      <c r="C41" s="3" t="s">
        <v>1148</v>
      </c>
      <c r="D41" s="3" t="s">
        <v>159</v>
      </c>
      <c r="E41" s="3" t="s">
        <v>160</v>
      </c>
      <c r="F41" s="3" t="s">
        <v>1149</v>
      </c>
      <c r="G41" s="3" t="s">
        <v>1150</v>
      </c>
      <c r="H41" s="3" t="s">
        <v>161</v>
      </c>
      <c r="I41" s="3" t="s">
        <v>162</v>
      </c>
      <c r="J41" s="3" t="s">
        <v>31</v>
      </c>
      <c r="K41" s="3" t="str">
        <f>"515-262-4000"</f>
        <v>515-262-4000</v>
      </c>
    </row>
    <row r="42" spans="1:11" x14ac:dyDescent="0.35">
      <c r="A42" s="3" t="str">
        <f>"90-32"</f>
        <v>90-32</v>
      </c>
      <c r="B42" s="3"/>
      <c r="C42" s="3" t="s">
        <v>1505</v>
      </c>
      <c r="D42" s="3" t="s">
        <v>1506</v>
      </c>
      <c r="E42" s="3" t="s">
        <v>950</v>
      </c>
      <c r="F42" s="3" t="s">
        <v>1507</v>
      </c>
      <c r="G42" s="3" t="s">
        <v>680</v>
      </c>
      <c r="H42" s="3" t="s">
        <v>679</v>
      </c>
      <c r="I42" s="3" t="s">
        <v>680</v>
      </c>
      <c r="J42" s="3" t="s">
        <v>16</v>
      </c>
      <c r="K42" s="3" t="str">
        <f>"515-689-8593"</f>
        <v>515-689-8593</v>
      </c>
    </row>
    <row r="43" spans="1:11" x14ac:dyDescent="0.35">
      <c r="A43" s="3" t="str">
        <f>"11-11-58"</f>
        <v>11-11-58</v>
      </c>
      <c r="B43" s="3" t="s">
        <v>1092</v>
      </c>
      <c r="C43" s="3" t="s">
        <v>1093</v>
      </c>
      <c r="D43" s="3" t="s">
        <v>25</v>
      </c>
      <c r="E43" s="3" t="s">
        <v>26</v>
      </c>
      <c r="F43" s="3" t="s">
        <v>1096</v>
      </c>
      <c r="G43" s="3" t="s">
        <v>1097</v>
      </c>
      <c r="H43" s="3" t="s">
        <v>1094</v>
      </c>
      <c r="I43" s="3" t="s">
        <v>1095</v>
      </c>
      <c r="J43" s="3" t="s">
        <v>31</v>
      </c>
      <c r="K43" s="3" t="str">
        <f>"402-451-2939"</f>
        <v>402-451-2939</v>
      </c>
    </row>
    <row r="44" spans="1:11" x14ac:dyDescent="0.35">
      <c r="A44" s="3" t="str">
        <f>"00-09"</f>
        <v>00-09</v>
      </c>
      <c r="B44" s="3"/>
      <c r="C44" s="3" t="s">
        <v>24</v>
      </c>
      <c r="D44" s="3" t="s">
        <v>25</v>
      </c>
      <c r="E44" s="3" t="s">
        <v>26</v>
      </c>
      <c r="F44" s="3" t="s">
        <v>29</v>
      </c>
      <c r="G44" s="3" t="s">
        <v>30</v>
      </c>
      <c r="H44" s="3" t="s">
        <v>27</v>
      </c>
      <c r="I44" s="3" t="s">
        <v>28</v>
      </c>
      <c r="J44" s="3" t="s">
        <v>31</v>
      </c>
      <c r="K44" s="3" t="str">
        <f>"402-689-5118"</f>
        <v>402-689-5118</v>
      </c>
    </row>
    <row r="45" spans="1:11" x14ac:dyDescent="0.35">
      <c r="A45" s="3" t="str">
        <f>"07-11"</f>
        <v>07-11</v>
      </c>
      <c r="B45" s="3"/>
      <c r="C45" s="3" t="s">
        <v>675</v>
      </c>
      <c r="D45" s="3" t="s">
        <v>57</v>
      </c>
      <c r="E45" s="3" t="s">
        <v>58</v>
      </c>
      <c r="F45" s="3" t="s">
        <v>676</v>
      </c>
      <c r="G45" s="3" t="s">
        <v>119</v>
      </c>
      <c r="H45" s="3" t="s">
        <v>118</v>
      </c>
      <c r="I45" s="3" t="s">
        <v>119</v>
      </c>
      <c r="J45" s="3" t="s">
        <v>31</v>
      </c>
      <c r="K45" s="3" t="str">
        <f>"319-358-9212"</f>
        <v>319-358-9212</v>
      </c>
    </row>
    <row r="46" spans="1:11" x14ac:dyDescent="0.35">
      <c r="A46" s="3" t="str">
        <f>"96-40"</f>
        <v>96-40</v>
      </c>
      <c r="B46" s="3" t="s">
        <v>1794</v>
      </c>
      <c r="C46" s="3" t="s">
        <v>1795</v>
      </c>
      <c r="D46" s="3" t="s">
        <v>1796</v>
      </c>
      <c r="E46" s="3" t="s">
        <v>1797</v>
      </c>
      <c r="F46" s="3" t="s">
        <v>1798</v>
      </c>
      <c r="G46" s="3" t="s">
        <v>62</v>
      </c>
      <c r="H46" s="3" t="s">
        <v>59</v>
      </c>
      <c r="I46" s="3" t="s">
        <v>60</v>
      </c>
      <c r="J46" s="3" t="s">
        <v>44</v>
      </c>
      <c r="K46" s="3" t="str">
        <f>"319-338-7600"</f>
        <v>319-338-7600</v>
      </c>
    </row>
    <row r="47" spans="1:11" x14ac:dyDescent="0.35">
      <c r="A47" s="3" t="s">
        <v>751</v>
      </c>
      <c r="B47" s="3" t="s">
        <v>751</v>
      </c>
      <c r="C47" s="3" t="s">
        <v>752</v>
      </c>
      <c r="D47" s="3" t="s">
        <v>753</v>
      </c>
      <c r="E47" s="3" t="s">
        <v>150</v>
      </c>
      <c r="F47" s="3" t="s">
        <v>754</v>
      </c>
      <c r="G47" s="3" t="s">
        <v>755</v>
      </c>
      <c r="H47" s="3" t="s">
        <v>754</v>
      </c>
      <c r="I47" s="3" t="s">
        <v>755</v>
      </c>
      <c r="J47" s="3" t="s">
        <v>87</v>
      </c>
      <c r="K47" s="3" t="str">
        <f>"641-485-3959"</f>
        <v>641-485-3959</v>
      </c>
    </row>
    <row r="48" spans="1:11" x14ac:dyDescent="0.35">
      <c r="A48" s="3" t="str">
        <f>"93-12"</f>
        <v>93-12</v>
      </c>
      <c r="B48" s="3" t="str">
        <f>"92-400-27-04"</f>
        <v>92-400-27-04</v>
      </c>
      <c r="C48" s="3" t="s">
        <v>1656</v>
      </c>
      <c r="D48" s="3" t="s">
        <v>18</v>
      </c>
      <c r="E48" s="3" t="s">
        <v>19</v>
      </c>
      <c r="F48" s="3" t="s">
        <v>1657</v>
      </c>
      <c r="G48" s="3" t="s">
        <v>1658</v>
      </c>
      <c r="H48" s="3" t="s">
        <v>20</v>
      </c>
      <c r="I48" s="3" t="s">
        <v>21</v>
      </c>
      <c r="J48" s="3" t="s">
        <v>16</v>
      </c>
      <c r="K48" s="3" t="str">
        <f>"773-412-2418"</f>
        <v>773-412-2418</v>
      </c>
    </row>
    <row r="49" spans="1:11" x14ac:dyDescent="0.35">
      <c r="A49" s="3" t="str">
        <f>"01-31"</f>
        <v>01-31</v>
      </c>
      <c r="B49" s="3" t="s">
        <v>177</v>
      </c>
      <c r="C49" s="3" t="s">
        <v>178</v>
      </c>
      <c r="D49" s="3" t="s">
        <v>179</v>
      </c>
      <c r="E49" s="3" t="s">
        <v>43</v>
      </c>
      <c r="F49" s="3" t="s">
        <v>181</v>
      </c>
      <c r="G49" s="3" t="s">
        <v>182</v>
      </c>
      <c r="H49" s="3" t="s">
        <v>20</v>
      </c>
      <c r="I49" s="3" t="s">
        <v>180</v>
      </c>
      <c r="J49" s="3" t="s">
        <v>16</v>
      </c>
      <c r="K49" s="3" t="str">
        <f>"507-285-5082"</f>
        <v>507-285-5082</v>
      </c>
    </row>
    <row r="50" spans="1:11" x14ac:dyDescent="0.35">
      <c r="A50" s="3" t="str">
        <f>"94-16"</f>
        <v>94-16</v>
      </c>
      <c r="B50" s="3"/>
      <c r="C50" s="3" t="s">
        <v>1714</v>
      </c>
      <c r="D50" s="3" t="s">
        <v>110</v>
      </c>
      <c r="E50" s="3" t="s">
        <v>111</v>
      </c>
      <c r="F50" s="3" t="s">
        <v>259</v>
      </c>
      <c r="G50" s="3" t="s">
        <v>262</v>
      </c>
      <c r="H50" s="3" t="s">
        <v>259</v>
      </c>
      <c r="I50" s="3" t="s">
        <v>260</v>
      </c>
      <c r="J50" s="3" t="s">
        <v>16</v>
      </c>
      <c r="K50" s="3" t="str">
        <f>"319-784-2030"</f>
        <v>319-784-2030</v>
      </c>
    </row>
    <row r="51" spans="1:11" x14ac:dyDescent="0.35">
      <c r="A51" s="3" t="str">
        <f>"15-15-14"</f>
        <v>15-15-14</v>
      </c>
      <c r="B51" s="3"/>
      <c r="C51" s="3" t="s">
        <v>1315</v>
      </c>
      <c r="D51" s="3" t="s">
        <v>265</v>
      </c>
      <c r="E51" s="3" t="s">
        <v>111</v>
      </c>
      <c r="F51" s="3" t="s">
        <v>1316</v>
      </c>
      <c r="G51" s="3" t="s">
        <v>1296</v>
      </c>
      <c r="H51" s="3" t="s">
        <v>286</v>
      </c>
      <c r="I51" s="3" t="s">
        <v>1294</v>
      </c>
      <c r="J51" s="3" t="s">
        <v>16</v>
      </c>
      <c r="K51" s="3" t="str">
        <f>"317-252-0221"</f>
        <v>317-252-0221</v>
      </c>
    </row>
    <row r="52" spans="1:11" x14ac:dyDescent="0.35">
      <c r="A52" s="3" t="str">
        <f>"13-13-15"</f>
        <v>13-13-15</v>
      </c>
      <c r="B52" s="3" t="s">
        <v>1188</v>
      </c>
      <c r="C52" s="3" t="s">
        <v>1189</v>
      </c>
      <c r="D52" s="3" t="s">
        <v>159</v>
      </c>
      <c r="E52" s="3" t="s">
        <v>160</v>
      </c>
      <c r="F52" s="3" t="s">
        <v>1190</v>
      </c>
      <c r="G52" s="3" t="s">
        <v>857</v>
      </c>
      <c r="H52" s="3" t="s">
        <v>856</v>
      </c>
      <c r="I52" s="3" t="s">
        <v>857</v>
      </c>
      <c r="J52" s="3" t="s">
        <v>78</v>
      </c>
      <c r="K52" s="3" t="str">
        <f>"651-291-1750"</f>
        <v>651-291-1750</v>
      </c>
    </row>
    <row r="53" spans="1:11" x14ac:dyDescent="0.35">
      <c r="A53" s="3" t="str">
        <f>"09-0958"</f>
        <v>09-0958</v>
      </c>
      <c r="B53" s="3" t="s">
        <v>903</v>
      </c>
      <c r="C53" s="3" t="s">
        <v>904</v>
      </c>
      <c r="D53" s="3" t="s">
        <v>534</v>
      </c>
      <c r="E53" s="3" t="s">
        <v>71</v>
      </c>
      <c r="F53" s="3" t="s">
        <v>905</v>
      </c>
      <c r="G53" s="3" t="s">
        <v>906</v>
      </c>
      <c r="H53" s="3" t="s">
        <v>266</v>
      </c>
      <c r="I53" s="3" t="s">
        <v>280</v>
      </c>
      <c r="J53" s="3" t="s">
        <v>78</v>
      </c>
      <c r="K53" s="3" t="str">
        <f>"227-927-5070"</f>
        <v>227-927-5070</v>
      </c>
    </row>
    <row r="54" spans="1:11" x14ac:dyDescent="0.35">
      <c r="A54" s="3" t="str">
        <f>"16-02"</f>
        <v>16-02</v>
      </c>
      <c r="B54" s="3"/>
      <c r="C54" s="3" t="s">
        <v>1365</v>
      </c>
      <c r="D54" s="3" t="s">
        <v>25</v>
      </c>
      <c r="E54" s="3" t="s">
        <v>26</v>
      </c>
      <c r="F54" s="3" t="s">
        <v>1368</v>
      </c>
      <c r="G54" s="3" t="s">
        <v>1369</v>
      </c>
      <c r="H54" s="3" t="s">
        <v>1366</v>
      </c>
      <c r="I54" s="3" t="s">
        <v>1367</v>
      </c>
      <c r="J54" s="3" t="s">
        <v>16</v>
      </c>
      <c r="K54" s="3" t="str">
        <f>"712-328-2222"</f>
        <v>712-328-2222</v>
      </c>
    </row>
    <row r="55" spans="1:11" x14ac:dyDescent="0.35">
      <c r="A55" s="3" t="str">
        <f>"98-23"</f>
        <v>98-23</v>
      </c>
      <c r="B55" s="3"/>
      <c r="C55" s="3" t="s">
        <v>1921</v>
      </c>
      <c r="D55" s="3" t="s">
        <v>173</v>
      </c>
      <c r="E55" s="3" t="s">
        <v>174</v>
      </c>
      <c r="F55" s="3" t="s">
        <v>1922</v>
      </c>
      <c r="G55" s="3" t="s">
        <v>1923</v>
      </c>
      <c r="H55" s="3" t="s">
        <v>246</v>
      </c>
      <c r="I55" s="3" t="s">
        <v>247</v>
      </c>
      <c r="J55" s="3" t="s">
        <v>16</v>
      </c>
      <c r="K55" s="3" t="str">
        <f>"262-790-4560"</f>
        <v>262-790-4560</v>
      </c>
    </row>
    <row r="56" spans="1:11" x14ac:dyDescent="0.35">
      <c r="A56" s="3" t="str">
        <f>"12-12-50"</f>
        <v>12-12-50</v>
      </c>
      <c r="B56" s="3" t="s">
        <v>1160</v>
      </c>
      <c r="C56" s="3" t="s">
        <v>1161</v>
      </c>
      <c r="D56" s="3" t="s">
        <v>1162</v>
      </c>
      <c r="E56" s="3" t="s">
        <v>600</v>
      </c>
      <c r="F56" s="3" t="s">
        <v>1165</v>
      </c>
      <c r="G56" s="3" t="s">
        <v>1166</v>
      </c>
      <c r="H56" s="3" t="s">
        <v>1163</v>
      </c>
      <c r="I56" s="3" t="s">
        <v>1164</v>
      </c>
      <c r="J56" s="3" t="s">
        <v>78</v>
      </c>
      <c r="K56" s="3" t="str">
        <f>"480-367-8880"</f>
        <v>480-367-8880</v>
      </c>
    </row>
    <row r="57" spans="1:11" x14ac:dyDescent="0.35">
      <c r="A57" s="3" t="str">
        <f>"94-23"</f>
        <v>94-23</v>
      </c>
      <c r="B57" s="3"/>
      <c r="C57" s="3" t="s">
        <v>1717</v>
      </c>
      <c r="D57" s="3" t="s">
        <v>637</v>
      </c>
      <c r="E57" s="3" t="s">
        <v>638</v>
      </c>
      <c r="F57" s="3" t="s">
        <v>1718</v>
      </c>
      <c r="G57" s="3" t="s">
        <v>108</v>
      </c>
      <c r="H57" s="3" t="s">
        <v>105</v>
      </c>
      <c r="I57" s="3" t="s">
        <v>106</v>
      </c>
      <c r="J57" s="3" t="s">
        <v>87</v>
      </c>
      <c r="K57" s="3" t="str">
        <f>"712-240-2188"</f>
        <v>712-240-2188</v>
      </c>
    </row>
    <row r="58" spans="1:11" x14ac:dyDescent="0.35">
      <c r="A58" s="3" t="str">
        <f>"13-13-21"</f>
        <v>13-13-21</v>
      </c>
      <c r="B58" s="3"/>
      <c r="C58" s="3" t="s">
        <v>1192</v>
      </c>
      <c r="D58" s="3" t="s">
        <v>159</v>
      </c>
      <c r="E58" s="3" t="s">
        <v>160</v>
      </c>
      <c r="F58" s="3" t="s">
        <v>1193</v>
      </c>
      <c r="G58" s="3" t="s">
        <v>442</v>
      </c>
      <c r="H58" s="3" t="s">
        <v>439</v>
      </c>
      <c r="I58" s="3" t="s">
        <v>814</v>
      </c>
      <c r="J58" s="3" t="s">
        <v>87</v>
      </c>
      <c r="K58" s="3" t="str">
        <f>"515-280-2053"</f>
        <v>515-280-2053</v>
      </c>
    </row>
    <row r="59" spans="1:11" x14ac:dyDescent="0.35">
      <c r="A59" s="3" t="str">
        <f>"96-66"</f>
        <v>96-66</v>
      </c>
      <c r="B59" s="3" t="s">
        <v>1813</v>
      </c>
      <c r="C59" s="3" t="s">
        <v>1814</v>
      </c>
      <c r="D59" s="3" t="s">
        <v>1815</v>
      </c>
      <c r="E59" s="3" t="s">
        <v>611</v>
      </c>
      <c r="F59" s="3" t="s">
        <v>1816</v>
      </c>
      <c r="G59" s="3" t="s">
        <v>108</v>
      </c>
      <c r="H59" s="3" t="s">
        <v>105</v>
      </c>
      <c r="I59" s="3" t="s">
        <v>106</v>
      </c>
      <c r="J59" s="3" t="s">
        <v>87</v>
      </c>
      <c r="K59" s="3" t="str">
        <f>"712-240-2188"</f>
        <v>712-240-2188</v>
      </c>
    </row>
    <row r="60" spans="1:11" x14ac:dyDescent="0.35">
      <c r="A60" s="3" t="str">
        <f>"96-63"</f>
        <v>96-63</v>
      </c>
      <c r="B60" s="3"/>
      <c r="C60" s="3" t="s">
        <v>1809</v>
      </c>
      <c r="D60" s="3" t="s">
        <v>10</v>
      </c>
      <c r="E60" s="3" t="s">
        <v>11</v>
      </c>
      <c r="F60" s="3" t="s">
        <v>1808</v>
      </c>
      <c r="G60" s="3" t="s">
        <v>1693</v>
      </c>
      <c r="H60" s="3" t="s">
        <v>888</v>
      </c>
      <c r="I60" s="3" t="s">
        <v>889</v>
      </c>
      <c r="J60" s="3" t="s">
        <v>78</v>
      </c>
      <c r="K60" s="3" t="str">
        <f>"563-556-2921"</f>
        <v>563-556-2921</v>
      </c>
    </row>
    <row r="61" spans="1:11" x14ac:dyDescent="0.35">
      <c r="A61" s="3" t="str">
        <f>"99-08"</f>
        <v>99-08</v>
      </c>
      <c r="B61" s="3"/>
      <c r="C61" s="3" t="s">
        <v>2008</v>
      </c>
      <c r="D61" s="3" t="s">
        <v>10</v>
      </c>
      <c r="E61" s="3" t="s">
        <v>11</v>
      </c>
      <c r="F61" s="3" t="s">
        <v>1808</v>
      </c>
      <c r="G61" s="3" t="s">
        <v>1693</v>
      </c>
      <c r="H61" s="3" t="s">
        <v>888</v>
      </c>
      <c r="I61" s="3" t="s">
        <v>889</v>
      </c>
      <c r="J61" s="3" t="s">
        <v>78</v>
      </c>
      <c r="K61" s="3" t="str">
        <f>"563-556-2921"</f>
        <v>563-556-2921</v>
      </c>
    </row>
    <row r="62" spans="1:11" x14ac:dyDescent="0.35">
      <c r="A62" s="3" t="str">
        <f>"08-22"</f>
        <v>08-22</v>
      </c>
      <c r="B62" s="3"/>
      <c r="C62" s="3" t="s">
        <v>822</v>
      </c>
      <c r="D62" s="3" t="s">
        <v>110</v>
      </c>
      <c r="E62" s="3" t="s">
        <v>111</v>
      </c>
      <c r="F62" s="3" t="s">
        <v>823</v>
      </c>
      <c r="G62" s="3" t="s">
        <v>262</v>
      </c>
      <c r="H62" s="3" t="s">
        <v>259</v>
      </c>
      <c r="I62" s="3" t="s">
        <v>260</v>
      </c>
      <c r="J62" s="3" t="s">
        <v>16</v>
      </c>
      <c r="K62" s="3" t="str">
        <f>"319-784-2030"</f>
        <v>319-784-2030</v>
      </c>
    </row>
    <row r="63" spans="1:11" x14ac:dyDescent="0.35">
      <c r="A63" s="3" t="str">
        <f>"90-27"</f>
        <v>90-27</v>
      </c>
      <c r="B63" s="3"/>
      <c r="C63" s="3" t="s">
        <v>1495</v>
      </c>
      <c r="D63" s="3" t="s">
        <v>1496</v>
      </c>
      <c r="E63" s="3" t="s">
        <v>1497</v>
      </c>
      <c r="F63" s="3" t="s">
        <v>1498</v>
      </c>
      <c r="G63" s="3" t="s">
        <v>1499</v>
      </c>
      <c r="H63" s="3" t="s">
        <v>1465</v>
      </c>
      <c r="I63" s="3" t="s">
        <v>1466</v>
      </c>
      <c r="J63" s="3" t="s">
        <v>87</v>
      </c>
      <c r="K63" s="3" t="str">
        <f>"515-288-2500"</f>
        <v>515-288-2500</v>
      </c>
    </row>
    <row r="64" spans="1:11" x14ac:dyDescent="0.35">
      <c r="A64" s="4" t="str">
        <f>"93-48"</f>
        <v>93-48</v>
      </c>
      <c r="B64" s="4"/>
      <c r="C64" s="4" t="s">
        <v>1694</v>
      </c>
      <c r="D64" s="4" t="s">
        <v>1695</v>
      </c>
      <c r="E64" s="4" t="s">
        <v>43</v>
      </c>
      <c r="F64" s="4" t="s">
        <v>1698</v>
      </c>
      <c r="G64" s="4" t="s">
        <v>1697</v>
      </c>
      <c r="H64" s="4" t="s">
        <v>1696</v>
      </c>
      <c r="I64" s="4" t="s">
        <v>1697</v>
      </c>
      <c r="J64" s="4" t="s">
        <v>2062</v>
      </c>
      <c r="K64" s="4" t="str">
        <f>"319-754-6705"</f>
        <v>319-754-6705</v>
      </c>
    </row>
    <row r="65" spans="1:11" x14ac:dyDescent="0.35">
      <c r="A65" s="3" t="str">
        <f>"14-14-1"</f>
        <v>14-14-1</v>
      </c>
      <c r="B65" s="3" t="s">
        <v>1235</v>
      </c>
      <c r="C65" s="3" t="s">
        <v>1236</v>
      </c>
      <c r="D65" s="3" t="s">
        <v>52</v>
      </c>
      <c r="E65" s="3" t="s">
        <v>38</v>
      </c>
      <c r="F65" s="3" t="s">
        <v>1237</v>
      </c>
      <c r="G65" s="3" t="s">
        <v>42</v>
      </c>
      <c r="H65" s="3" t="s">
        <v>39</v>
      </c>
      <c r="I65" s="3" t="s">
        <v>40</v>
      </c>
      <c r="J65" s="3" t="s">
        <v>44</v>
      </c>
      <c r="K65" s="3" t="str">
        <f>"515-262-5965"</f>
        <v>515-262-5965</v>
      </c>
    </row>
    <row r="66" spans="1:11" x14ac:dyDescent="0.35">
      <c r="A66" s="3" t="str">
        <f>"98-62"</f>
        <v>98-62</v>
      </c>
      <c r="B66" s="3" t="s">
        <v>1961</v>
      </c>
      <c r="C66" s="3" t="s">
        <v>1962</v>
      </c>
      <c r="D66" s="3" t="s">
        <v>825</v>
      </c>
      <c r="E66" s="3" t="s">
        <v>826</v>
      </c>
      <c r="F66" s="3" t="s">
        <v>1963</v>
      </c>
      <c r="G66" s="3" t="s">
        <v>86</v>
      </c>
      <c r="H66" s="3" t="s">
        <v>83</v>
      </c>
      <c r="I66" s="3" t="s">
        <v>84</v>
      </c>
      <c r="J66" s="3" t="s">
        <v>87</v>
      </c>
      <c r="K66" s="3" t="str">
        <f>"602-200-5660"</f>
        <v>602-200-5660</v>
      </c>
    </row>
    <row r="67" spans="1:11" x14ac:dyDescent="0.35">
      <c r="A67" s="3" t="str">
        <f>"92-41"</f>
        <v>92-41</v>
      </c>
      <c r="B67" s="3"/>
      <c r="C67" s="3" t="s">
        <v>1635</v>
      </c>
      <c r="D67" s="3" t="s">
        <v>1636</v>
      </c>
      <c r="E67" s="3" t="s">
        <v>160</v>
      </c>
      <c r="F67" s="3" t="s">
        <v>1515</v>
      </c>
      <c r="G67" s="3" t="s">
        <v>108</v>
      </c>
      <c r="H67" s="3" t="s">
        <v>83</v>
      </c>
      <c r="I67" s="3" t="s">
        <v>84</v>
      </c>
      <c r="J67" s="3" t="s">
        <v>87</v>
      </c>
      <c r="K67" s="3" t="str">
        <f>"712-580-5360"</f>
        <v>712-580-5360</v>
      </c>
    </row>
    <row r="68" spans="1:11" x14ac:dyDescent="0.35">
      <c r="A68" s="3" t="str">
        <f>"90-38"</f>
        <v>90-38</v>
      </c>
      <c r="B68" s="3"/>
      <c r="C68" s="3" t="s">
        <v>1514</v>
      </c>
      <c r="D68" s="3" t="s">
        <v>1325</v>
      </c>
      <c r="E68" s="3" t="s">
        <v>82</v>
      </c>
      <c r="F68" s="3" t="s">
        <v>1515</v>
      </c>
      <c r="G68" s="3" t="s">
        <v>108</v>
      </c>
      <c r="H68" s="3" t="s">
        <v>83</v>
      </c>
      <c r="I68" s="3" t="s">
        <v>84</v>
      </c>
      <c r="J68" s="3" t="s">
        <v>87</v>
      </c>
      <c r="K68" s="3" t="str">
        <f>"712-580-5360"</f>
        <v>712-580-5360</v>
      </c>
    </row>
    <row r="69" spans="1:11" x14ac:dyDescent="0.35">
      <c r="A69" s="3" t="str">
        <f>"93-31"</f>
        <v>93-31</v>
      </c>
      <c r="B69" s="3"/>
      <c r="C69" s="3" t="s">
        <v>1681</v>
      </c>
      <c r="D69" s="3" t="s">
        <v>1325</v>
      </c>
      <c r="E69" s="3" t="s">
        <v>82</v>
      </c>
      <c r="F69" s="3" t="s">
        <v>1515</v>
      </c>
      <c r="G69" s="3" t="s">
        <v>108</v>
      </c>
      <c r="H69" s="3" t="s">
        <v>83</v>
      </c>
      <c r="I69" s="3" t="s">
        <v>84</v>
      </c>
      <c r="J69" s="3" t="s">
        <v>87</v>
      </c>
      <c r="K69" s="3" t="str">
        <f>"712-580-5360"</f>
        <v>712-580-5360</v>
      </c>
    </row>
    <row r="70" spans="1:11" x14ac:dyDescent="0.35">
      <c r="A70" s="3" t="str">
        <f>"91-26"</f>
        <v>91-26</v>
      </c>
      <c r="B70" s="3"/>
      <c r="C70" s="3" t="s">
        <v>1574</v>
      </c>
      <c r="D70" s="3" t="s">
        <v>1575</v>
      </c>
      <c r="E70" s="3" t="s">
        <v>160</v>
      </c>
      <c r="F70" s="3" t="s">
        <v>1515</v>
      </c>
      <c r="G70" s="3" t="s">
        <v>108</v>
      </c>
      <c r="H70" s="3" t="s">
        <v>83</v>
      </c>
      <c r="I70" s="3" t="s">
        <v>84</v>
      </c>
      <c r="J70" s="3" t="s">
        <v>87</v>
      </c>
      <c r="K70" s="3" t="str">
        <f>"712-580-5360"</f>
        <v>712-580-5360</v>
      </c>
    </row>
    <row r="71" spans="1:11" x14ac:dyDescent="0.35">
      <c r="A71" s="3" t="str">
        <f>"92-40"</f>
        <v>92-40</v>
      </c>
      <c r="B71" s="3"/>
      <c r="C71" s="3" t="s">
        <v>1634</v>
      </c>
      <c r="D71" s="3" t="s">
        <v>81</v>
      </c>
      <c r="E71" s="3" t="s">
        <v>82</v>
      </c>
      <c r="F71" s="3" t="s">
        <v>1515</v>
      </c>
      <c r="G71" s="3" t="s">
        <v>108</v>
      </c>
      <c r="H71" s="3" t="s">
        <v>83</v>
      </c>
      <c r="I71" s="3" t="s">
        <v>84</v>
      </c>
      <c r="J71" s="3" t="s">
        <v>87</v>
      </c>
      <c r="K71" s="3" t="str">
        <f>"712-580-5360"</f>
        <v>712-580-5360</v>
      </c>
    </row>
    <row r="72" spans="1:11" x14ac:dyDescent="0.35">
      <c r="A72" s="3" t="str">
        <f>"93-54"</f>
        <v>93-54</v>
      </c>
      <c r="B72" s="3"/>
      <c r="C72" s="3" t="s">
        <v>1703</v>
      </c>
      <c r="D72" s="3" t="s">
        <v>81</v>
      </c>
      <c r="E72" s="3" t="s">
        <v>82</v>
      </c>
      <c r="F72" s="3" t="s">
        <v>1515</v>
      </c>
      <c r="G72" s="3" t="s">
        <v>108</v>
      </c>
      <c r="H72" s="3" t="s">
        <v>83</v>
      </c>
      <c r="I72" s="3" t="s">
        <v>84</v>
      </c>
      <c r="J72" s="3" t="s">
        <v>87</v>
      </c>
      <c r="K72" s="3" t="str">
        <f>"712-580-5360"</f>
        <v>712-580-5360</v>
      </c>
    </row>
    <row r="73" spans="1:11" x14ac:dyDescent="0.35">
      <c r="A73" s="3" t="str">
        <f>"15-15-11"</f>
        <v>15-15-11</v>
      </c>
      <c r="B73" s="3"/>
      <c r="C73" s="3" t="s">
        <v>1310</v>
      </c>
      <c r="D73" s="3" t="s">
        <v>470</v>
      </c>
      <c r="E73" s="3" t="s">
        <v>160</v>
      </c>
      <c r="F73" s="3" t="s">
        <v>1311</v>
      </c>
      <c r="G73" s="3" t="s">
        <v>90</v>
      </c>
      <c r="H73" s="3" t="s">
        <v>89</v>
      </c>
      <c r="I73" s="3" t="s">
        <v>90</v>
      </c>
      <c r="J73" s="3" t="s">
        <v>78</v>
      </c>
      <c r="K73" s="3" t="str">
        <f>"515-246-8016"</f>
        <v>515-246-8016</v>
      </c>
    </row>
    <row r="74" spans="1:11" x14ac:dyDescent="0.35">
      <c r="A74" s="3" t="str">
        <f>"05-02"</f>
        <v>05-02</v>
      </c>
      <c r="B74" s="3"/>
      <c r="C74" s="3" t="s">
        <v>469</v>
      </c>
      <c r="D74" s="3" t="s">
        <v>470</v>
      </c>
      <c r="E74" s="3" t="s">
        <v>160</v>
      </c>
      <c r="F74" s="3" t="s">
        <v>89</v>
      </c>
      <c r="G74" s="3" t="s">
        <v>90</v>
      </c>
      <c r="H74" s="3" t="s">
        <v>89</v>
      </c>
      <c r="I74" s="3" t="s">
        <v>90</v>
      </c>
      <c r="J74" s="3" t="s">
        <v>78</v>
      </c>
      <c r="K74" s="3" t="str">
        <f>"515-246-8016"</f>
        <v>515-246-8016</v>
      </c>
    </row>
    <row r="75" spans="1:11" x14ac:dyDescent="0.35">
      <c r="A75" s="3" t="str">
        <f>"07-08"</f>
        <v>07-08</v>
      </c>
      <c r="B75" s="3"/>
      <c r="C75" s="3" t="s">
        <v>669</v>
      </c>
      <c r="D75" s="3" t="s">
        <v>470</v>
      </c>
      <c r="E75" s="3" t="s">
        <v>160</v>
      </c>
      <c r="F75" s="3" t="s">
        <v>89</v>
      </c>
      <c r="G75" s="3" t="s">
        <v>90</v>
      </c>
      <c r="H75" s="3" t="s">
        <v>89</v>
      </c>
      <c r="I75" s="3" t="s">
        <v>90</v>
      </c>
      <c r="J75" s="3" t="s">
        <v>78</v>
      </c>
      <c r="K75" s="3" t="str">
        <f>"515-246-8016"</f>
        <v>515-246-8016</v>
      </c>
    </row>
    <row r="76" spans="1:11" x14ac:dyDescent="0.35">
      <c r="A76" s="3" t="str">
        <f>"08-05"</f>
        <v>08-05</v>
      </c>
      <c r="B76" s="3"/>
      <c r="C76" s="3" t="s">
        <v>768</v>
      </c>
      <c r="D76" s="3" t="s">
        <v>470</v>
      </c>
      <c r="E76" s="3" t="s">
        <v>160</v>
      </c>
      <c r="F76" s="3" t="s">
        <v>769</v>
      </c>
      <c r="G76" s="3" t="s">
        <v>90</v>
      </c>
      <c r="H76" s="3" t="s">
        <v>89</v>
      </c>
      <c r="I76" s="3" t="s">
        <v>90</v>
      </c>
      <c r="J76" s="3" t="s">
        <v>78</v>
      </c>
      <c r="K76" s="3" t="str">
        <f>"515-246-8016"</f>
        <v>515-246-8016</v>
      </c>
    </row>
    <row r="77" spans="1:11" x14ac:dyDescent="0.35">
      <c r="A77" s="3" t="str">
        <f>"11-11-49"</f>
        <v>11-11-49</v>
      </c>
      <c r="B77" s="3" t="s">
        <v>1084</v>
      </c>
      <c r="C77" s="3" t="s">
        <v>1085</v>
      </c>
      <c r="D77" s="3" t="s">
        <v>159</v>
      </c>
      <c r="E77" s="3" t="s">
        <v>160</v>
      </c>
      <c r="F77" s="3" t="s">
        <v>1086</v>
      </c>
      <c r="G77" s="3" t="s">
        <v>42</v>
      </c>
      <c r="H77" s="3" t="s">
        <v>39</v>
      </c>
      <c r="I77" s="3" t="s">
        <v>40</v>
      </c>
      <c r="J77" s="3" t="s">
        <v>44</v>
      </c>
      <c r="K77" s="3" t="str">
        <f>"515-262-5965"</f>
        <v>515-262-5965</v>
      </c>
    </row>
    <row r="78" spans="1:11" x14ac:dyDescent="0.35">
      <c r="A78" s="3" t="str">
        <f>"12-12-4"</f>
        <v>12-12-4</v>
      </c>
      <c r="B78" s="3"/>
      <c r="C78" s="3" t="s">
        <v>1151</v>
      </c>
      <c r="D78" s="3" t="s">
        <v>52</v>
      </c>
      <c r="E78" s="3" t="s">
        <v>38</v>
      </c>
      <c r="F78" s="3" t="s">
        <v>1152</v>
      </c>
      <c r="G78" s="3" t="s">
        <v>42</v>
      </c>
      <c r="H78" s="3" t="s">
        <v>39</v>
      </c>
      <c r="I78" s="3" t="s">
        <v>40</v>
      </c>
      <c r="J78" s="3" t="s">
        <v>44</v>
      </c>
      <c r="K78" s="3" t="str">
        <f>"515-262-5965"</f>
        <v>515-262-5965</v>
      </c>
    </row>
    <row r="79" spans="1:11" x14ac:dyDescent="0.35">
      <c r="A79" s="3" t="s">
        <v>1359</v>
      </c>
      <c r="B79" s="3" t="s">
        <v>1359</v>
      </c>
      <c r="C79" s="3" t="s">
        <v>1360</v>
      </c>
      <c r="D79" s="3" t="s">
        <v>1325</v>
      </c>
      <c r="E79" s="3" t="s">
        <v>82</v>
      </c>
      <c r="F79" s="3" t="s">
        <v>1361</v>
      </c>
      <c r="G79" s="3" t="s">
        <v>1362</v>
      </c>
      <c r="H79" s="3" t="s">
        <v>1361</v>
      </c>
      <c r="I79" s="3" t="s">
        <v>1362</v>
      </c>
      <c r="J79" s="3" t="s">
        <v>16</v>
      </c>
      <c r="K79" s="3" t="str">
        <f>"515-339-6771"</f>
        <v>515-339-6771</v>
      </c>
    </row>
    <row r="80" spans="1:11" x14ac:dyDescent="0.35">
      <c r="A80" s="3" t="str">
        <f>"15-15-26"</f>
        <v>15-15-26</v>
      </c>
      <c r="B80" s="3"/>
      <c r="C80" s="3" t="s">
        <v>1344</v>
      </c>
      <c r="D80" s="3" t="s">
        <v>10</v>
      </c>
      <c r="E80" s="3" t="s">
        <v>11</v>
      </c>
      <c r="F80" s="3" t="s">
        <v>1345</v>
      </c>
      <c r="G80" s="3" t="s">
        <v>1346</v>
      </c>
      <c r="H80" s="3" t="s">
        <v>717</v>
      </c>
      <c r="I80" s="3" t="s">
        <v>718</v>
      </c>
      <c r="J80" s="3" t="s">
        <v>31</v>
      </c>
      <c r="K80" s="3" t="str">
        <f>"763-354-5500"</f>
        <v>763-354-5500</v>
      </c>
    </row>
    <row r="81" spans="1:11" x14ac:dyDescent="0.35">
      <c r="A81" s="3" t="s">
        <v>1994</v>
      </c>
      <c r="B81" s="3" t="s">
        <v>1994</v>
      </c>
      <c r="C81" s="3" t="s">
        <v>1995</v>
      </c>
      <c r="D81" s="3" t="s">
        <v>297</v>
      </c>
      <c r="E81" s="3" t="s">
        <v>298</v>
      </c>
      <c r="F81" s="3" t="s">
        <v>1996</v>
      </c>
      <c r="G81" s="3" t="s">
        <v>62</v>
      </c>
      <c r="H81" s="3" t="s">
        <v>59</v>
      </c>
      <c r="I81" s="3" t="s">
        <v>60</v>
      </c>
      <c r="J81" s="3" t="s">
        <v>44</v>
      </c>
      <c r="K81" s="3" t="str">
        <f>"319-338-7600"</f>
        <v>319-338-7600</v>
      </c>
    </row>
    <row r="82" spans="1:11" x14ac:dyDescent="0.35">
      <c r="A82" s="3" t="s">
        <v>295</v>
      </c>
      <c r="B82" s="3" t="s">
        <v>295</v>
      </c>
      <c r="C82" s="3" t="s">
        <v>296</v>
      </c>
      <c r="D82" s="3" t="s">
        <v>297</v>
      </c>
      <c r="E82" s="3" t="s">
        <v>298</v>
      </c>
      <c r="F82" s="3" t="s">
        <v>299</v>
      </c>
      <c r="G82" s="3" t="s">
        <v>62</v>
      </c>
      <c r="H82" s="3" t="s">
        <v>59</v>
      </c>
      <c r="I82" s="3" t="s">
        <v>60</v>
      </c>
      <c r="J82" s="3" t="s">
        <v>44</v>
      </c>
      <c r="K82" s="3" t="str">
        <f>"319-338-7600"</f>
        <v>319-338-7600</v>
      </c>
    </row>
    <row r="83" spans="1:11" x14ac:dyDescent="0.35">
      <c r="A83" s="3" t="str">
        <f>"95-34"</f>
        <v>95-34</v>
      </c>
      <c r="B83" s="3" t="s">
        <v>1764</v>
      </c>
      <c r="C83" s="3" t="s">
        <v>1765</v>
      </c>
      <c r="D83" s="3" t="s">
        <v>1766</v>
      </c>
      <c r="E83" s="3" t="s">
        <v>1115</v>
      </c>
      <c r="F83" s="3" t="s">
        <v>1767</v>
      </c>
      <c r="G83" s="3" t="s">
        <v>86</v>
      </c>
      <c r="H83" s="3" t="s">
        <v>83</v>
      </c>
      <c r="I83" s="3" t="s">
        <v>84</v>
      </c>
      <c r="J83" s="3" t="s">
        <v>87</v>
      </c>
      <c r="K83" s="3" t="str">
        <f>"602-200-5660"</f>
        <v>602-200-5660</v>
      </c>
    </row>
    <row r="84" spans="1:11" x14ac:dyDescent="0.35">
      <c r="A84" s="3" t="str">
        <f>"07-12"</f>
        <v>07-12</v>
      </c>
      <c r="B84" s="3" t="s">
        <v>677</v>
      </c>
      <c r="C84" s="3" t="s">
        <v>678</v>
      </c>
      <c r="D84" s="3" t="s">
        <v>173</v>
      </c>
      <c r="E84" s="3" t="s">
        <v>174</v>
      </c>
      <c r="F84" s="3" t="s">
        <v>681</v>
      </c>
      <c r="G84" s="3" t="s">
        <v>680</v>
      </c>
      <c r="H84" s="3" t="s">
        <v>679</v>
      </c>
      <c r="I84" s="3" t="s">
        <v>680</v>
      </c>
      <c r="J84" s="3" t="s">
        <v>16</v>
      </c>
      <c r="K84" s="3" t="str">
        <f>"515-689-8593"</f>
        <v>515-689-8593</v>
      </c>
    </row>
    <row r="85" spans="1:11" x14ac:dyDescent="0.35">
      <c r="A85" s="3" t="str">
        <f>"95-50"</f>
        <v>95-50</v>
      </c>
      <c r="B85" s="3" t="s">
        <v>1770</v>
      </c>
      <c r="C85" s="3" t="s">
        <v>1771</v>
      </c>
      <c r="D85" s="3" t="s">
        <v>173</v>
      </c>
      <c r="E85" s="3" t="s">
        <v>174</v>
      </c>
      <c r="F85" s="3" t="s">
        <v>1772</v>
      </c>
      <c r="G85" s="3" t="s">
        <v>680</v>
      </c>
      <c r="H85" s="3" t="s">
        <v>679</v>
      </c>
      <c r="I85" s="3" t="s">
        <v>680</v>
      </c>
      <c r="J85" s="3" t="s">
        <v>16</v>
      </c>
      <c r="K85" s="3" t="str">
        <f>"515-689-8593"</f>
        <v>515-689-8593</v>
      </c>
    </row>
    <row r="86" spans="1:11" x14ac:dyDescent="0.35">
      <c r="A86" s="3" t="str">
        <f>"04-27"</f>
        <v>04-27</v>
      </c>
      <c r="B86" s="3"/>
      <c r="C86" s="3" t="s">
        <v>398</v>
      </c>
      <c r="D86" s="3" t="s">
        <v>399</v>
      </c>
      <c r="E86" s="3" t="s">
        <v>400</v>
      </c>
      <c r="F86" s="3" t="s">
        <v>403</v>
      </c>
      <c r="G86" s="3" t="s">
        <v>402</v>
      </c>
      <c r="H86" s="3" t="s">
        <v>401</v>
      </c>
      <c r="I86" s="3" t="s">
        <v>402</v>
      </c>
      <c r="J86" s="3" t="s">
        <v>31</v>
      </c>
      <c r="K86" s="3" t="str">
        <f>"515-243-8300"</f>
        <v>515-243-8300</v>
      </c>
    </row>
    <row r="87" spans="1:11" x14ac:dyDescent="0.35">
      <c r="A87" s="3" t="str">
        <f>"09-0941"</f>
        <v>09-0941</v>
      </c>
      <c r="B87" s="3" t="s">
        <v>884</v>
      </c>
      <c r="C87" s="3" t="s">
        <v>885</v>
      </c>
      <c r="D87" s="3" t="s">
        <v>110</v>
      </c>
      <c r="E87" s="3" t="s">
        <v>111</v>
      </c>
      <c r="F87" s="3" t="s">
        <v>886</v>
      </c>
      <c r="G87" s="3" t="s">
        <v>358</v>
      </c>
      <c r="H87" s="3" t="s">
        <v>357</v>
      </c>
      <c r="I87" s="3" t="s">
        <v>358</v>
      </c>
      <c r="J87" s="3" t="s">
        <v>31</v>
      </c>
      <c r="K87" s="3" t="str">
        <f>"952-447-2345"</f>
        <v>952-447-2345</v>
      </c>
    </row>
    <row r="88" spans="1:11" x14ac:dyDescent="0.35">
      <c r="A88" s="3" t="str">
        <f>"08-0917"</f>
        <v>08-0917</v>
      </c>
      <c r="B88" s="3" t="s">
        <v>802</v>
      </c>
      <c r="C88" s="3" t="s">
        <v>803</v>
      </c>
      <c r="D88" s="3" t="s">
        <v>110</v>
      </c>
      <c r="E88" s="3" t="s">
        <v>111</v>
      </c>
      <c r="F88" s="3" t="s">
        <v>804</v>
      </c>
      <c r="G88" s="3" t="s">
        <v>674</v>
      </c>
      <c r="H88" s="3" t="s">
        <v>20</v>
      </c>
      <c r="I88" s="3" t="s">
        <v>21</v>
      </c>
      <c r="J88" s="3" t="s">
        <v>16</v>
      </c>
      <c r="K88" s="3" t="str">
        <f>"651-523-1252"</f>
        <v>651-523-1252</v>
      </c>
    </row>
    <row r="89" spans="1:11" x14ac:dyDescent="0.35">
      <c r="A89" s="3" t="str">
        <f>"10-10-238"</f>
        <v>10-10-238</v>
      </c>
      <c r="B89" s="3"/>
      <c r="C89" s="3" t="s">
        <v>964</v>
      </c>
      <c r="D89" s="3" t="s">
        <v>945</v>
      </c>
      <c r="E89" s="3" t="s">
        <v>946</v>
      </c>
      <c r="F89" s="3" t="s">
        <v>965</v>
      </c>
      <c r="G89" s="3" t="s">
        <v>442</v>
      </c>
      <c r="H89" s="3" t="s">
        <v>439</v>
      </c>
      <c r="I89" s="3" t="s">
        <v>440</v>
      </c>
      <c r="J89" s="3" t="s">
        <v>87</v>
      </c>
      <c r="K89" s="3" t="str">
        <f>"515-280-2053"</f>
        <v>515-280-2053</v>
      </c>
    </row>
    <row r="90" spans="1:11" x14ac:dyDescent="0.35">
      <c r="A90" s="4" t="str">
        <f>"00-43"</f>
        <v>00-43</v>
      </c>
      <c r="B90" s="4"/>
      <c r="C90" s="4" t="s">
        <v>109</v>
      </c>
      <c r="D90" s="4" t="s">
        <v>110</v>
      </c>
      <c r="E90" s="4" t="s">
        <v>111</v>
      </c>
      <c r="F90" s="4" t="s">
        <v>114</v>
      </c>
      <c r="G90" s="4" t="s">
        <v>115</v>
      </c>
      <c r="H90" s="4" t="s">
        <v>112</v>
      </c>
      <c r="I90" s="4" t="s">
        <v>113</v>
      </c>
      <c r="J90" s="4" t="s">
        <v>2062</v>
      </c>
      <c r="K90" s="4" t="str">
        <f>"718-972-7878"</f>
        <v>718-972-7878</v>
      </c>
    </row>
    <row r="91" spans="1:11" x14ac:dyDescent="0.35">
      <c r="A91" s="3" t="str">
        <f>"04-51"</f>
        <v>04-51</v>
      </c>
      <c r="B91" s="3" t="s">
        <v>457</v>
      </c>
      <c r="C91" s="3" t="s">
        <v>458</v>
      </c>
      <c r="D91" s="3" t="s">
        <v>52</v>
      </c>
      <c r="E91" s="3" t="s">
        <v>38</v>
      </c>
      <c r="F91" s="3" t="s">
        <v>459</v>
      </c>
      <c r="G91" s="3" t="s">
        <v>456</v>
      </c>
      <c r="H91" s="3" t="s">
        <v>453</v>
      </c>
      <c r="I91" s="3" t="s">
        <v>454</v>
      </c>
      <c r="J91" s="3" t="s">
        <v>78</v>
      </c>
      <c r="K91" s="3" t="str">
        <f>"605-275-8033"</f>
        <v>605-275-8033</v>
      </c>
    </row>
    <row r="92" spans="1:11" x14ac:dyDescent="0.35">
      <c r="A92" s="3" t="str">
        <f>"94-12"</f>
        <v>94-12</v>
      </c>
      <c r="B92" s="3"/>
      <c r="C92" s="3" t="s">
        <v>1704</v>
      </c>
      <c r="D92" s="3" t="s">
        <v>959</v>
      </c>
      <c r="E92" s="3" t="s">
        <v>160</v>
      </c>
      <c r="F92" s="3" t="s">
        <v>1707</v>
      </c>
      <c r="G92" s="3" t="s">
        <v>1706</v>
      </c>
      <c r="H92" s="3" t="s">
        <v>1705</v>
      </c>
      <c r="I92" s="3" t="s">
        <v>1706</v>
      </c>
      <c r="J92" s="3" t="s">
        <v>31</v>
      </c>
      <c r="K92" s="3" t="str">
        <f>"515-283-9095"</f>
        <v>515-283-9095</v>
      </c>
    </row>
    <row r="93" spans="1:11" x14ac:dyDescent="0.35">
      <c r="A93" s="3" t="str">
        <f>"15-15-19"</f>
        <v>15-15-19</v>
      </c>
      <c r="B93" s="3" t="s">
        <v>1330</v>
      </c>
      <c r="C93" s="3" t="s">
        <v>1331</v>
      </c>
      <c r="D93" s="3" t="s">
        <v>1332</v>
      </c>
      <c r="E93" s="3" t="s">
        <v>1333</v>
      </c>
      <c r="F93" s="3" t="s">
        <v>1334</v>
      </c>
      <c r="G93" s="3" t="s">
        <v>963</v>
      </c>
      <c r="H93" s="3" t="s">
        <v>960</v>
      </c>
      <c r="I93" s="3" t="s">
        <v>961</v>
      </c>
      <c r="J93" s="3" t="s">
        <v>78</v>
      </c>
      <c r="K93" s="3" t="str">
        <f>"513-964-1440"</f>
        <v>513-964-1440</v>
      </c>
    </row>
    <row r="94" spans="1:11" x14ac:dyDescent="0.35">
      <c r="A94" s="3" t="str">
        <f>"01-04"</f>
        <v>01-04</v>
      </c>
      <c r="B94" s="3" t="s">
        <v>134</v>
      </c>
      <c r="C94" s="3" t="s">
        <v>135</v>
      </c>
      <c r="D94" s="3" t="s">
        <v>136</v>
      </c>
      <c r="E94" s="3" t="s">
        <v>137</v>
      </c>
      <c r="F94" s="3" t="s">
        <v>138</v>
      </c>
      <c r="G94" s="3" t="s">
        <v>23</v>
      </c>
      <c r="H94" s="3" t="s">
        <v>20</v>
      </c>
      <c r="I94" s="3" t="s">
        <v>21</v>
      </c>
      <c r="J94" s="3" t="s">
        <v>16</v>
      </c>
      <c r="K94" s="3" t="str">
        <f>"314-307-1035"</f>
        <v>314-307-1035</v>
      </c>
    </row>
    <row r="95" spans="1:11" x14ac:dyDescent="0.35">
      <c r="A95" s="3" t="str">
        <f>"98-04"</f>
        <v>98-04</v>
      </c>
      <c r="B95" s="3" t="s">
        <v>1896</v>
      </c>
      <c r="C95" s="3" t="s">
        <v>1897</v>
      </c>
      <c r="D95" s="3" t="s">
        <v>52</v>
      </c>
      <c r="E95" s="3" t="s">
        <v>38</v>
      </c>
      <c r="F95" s="3" t="s">
        <v>1898</v>
      </c>
      <c r="G95" s="3" t="s">
        <v>42</v>
      </c>
      <c r="H95" s="3" t="s">
        <v>39</v>
      </c>
      <c r="I95" s="3" t="s">
        <v>40</v>
      </c>
      <c r="J95" s="3" t="s">
        <v>44</v>
      </c>
      <c r="K95" s="3" t="str">
        <f>"515-262-5965"</f>
        <v>515-262-5965</v>
      </c>
    </row>
    <row r="96" spans="1:11" x14ac:dyDescent="0.35">
      <c r="A96" s="3" t="str">
        <f>"08-01"</f>
        <v>08-01</v>
      </c>
      <c r="B96" s="3"/>
      <c r="C96" s="3" t="s">
        <v>762</v>
      </c>
      <c r="D96" s="3" t="s">
        <v>188</v>
      </c>
      <c r="E96" s="3" t="s">
        <v>160</v>
      </c>
      <c r="F96" s="3" t="s">
        <v>763</v>
      </c>
      <c r="G96" s="3" t="s">
        <v>90</v>
      </c>
      <c r="H96" s="3" t="s">
        <v>89</v>
      </c>
      <c r="I96" s="3" t="s">
        <v>90</v>
      </c>
      <c r="J96" s="3" t="s">
        <v>78</v>
      </c>
      <c r="K96" s="3" t="str">
        <f>"515-246-8016"</f>
        <v>515-246-8016</v>
      </c>
    </row>
    <row r="97" spans="1:11" x14ac:dyDescent="0.35">
      <c r="A97" s="3" t="str">
        <f>"08-0909"</f>
        <v>08-0909</v>
      </c>
      <c r="B97" s="3"/>
      <c r="C97" s="3" t="s">
        <v>794</v>
      </c>
      <c r="D97" s="3" t="s">
        <v>188</v>
      </c>
      <c r="E97" s="3" t="s">
        <v>160</v>
      </c>
      <c r="F97" s="3" t="s">
        <v>795</v>
      </c>
      <c r="G97" s="3" t="s">
        <v>90</v>
      </c>
      <c r="H97" s="3" t="s">
        <v>89</v>
      </c>
      <c r="I97" s="3" t="s">
        <v>90</v>
      </c>
      <c r="J97" s="3" t="s">
        <v>78</v>
      </c>
      <c r="K97" s="3" t="str">
        <f>"515-246-8016"</f>
        <v>515-246-8016</v>
      </c>
    </row>
    <row r="98" spans="1:11" x14ac:dyDescent="0.35">
      <c r="A98" s="3" t="str">
        <f>"02-30"</f>
        <v>02-30</v>
      </c>
      <c r="B98" s="3"/>
      <c r="C98" s="3" t="s">
        <v>278</v>
      </c>
      <c r="D98" s="3" t="s">
        <v>279</v>
      </c>
      <c r="E98" s="3" t="s">
        <v>160</v>
      </c>
      <c r="F98" s="3" t="s">
        <v>281</v>
      </c>
      <c r="G98" s="3" t="s">
        <v>282</v>
      </c>
      <c r="H98" s="3" t="s">
        <v>266</v>
      </c>
      <c r="I98" s="3" t="s">
        <v>280</v>
      </c>
      <c r="J98" s="3" t="s">
        <v>78</v>
      </c>
      <c r="K98" s="3" t="str">
        <f>"402-952-4599"</f>
        <v>402-952-4599</v>
      </c>
    </row>
    <row r="99" spans="1:11" x14ac:dyDescent="0.35">
      <c r="A99" s="3" t="str">
        <f>"03-47"</f>
        <v>03-47</v>
      </c>
      <c r="B99" s="3"/>
      <c r="C99" s="3" t="s">
        <v>371</v>
      </c>
      <c r="D99" s="3" t="s">
        <v>25</v>
      </c>
      <c r="E99" s="3" t="s">
        <v>26</v>
      </c>
      <c r="F99" s="3" t="s">
        <v>372</v>
      </c>
      <c r="G99" s="3" t="s">
        <v>282</v>
      </c>
      <c r="H99" s="3" t="s">
        <v>266</v>
      </c>
      <c r="I99" s="3" t="s">
        <v>280</v>
      </c>
      <c r="J99" s="3" t="s">
        <v>78</v>
      </c>
      <c r="K99" s="3" t="str">
        <f>"402-952-4599"</f>
        <v>402-952-4599</v>
      </c>
    </row>
    <row r="100" spans="1:11" x14ac:dyDescent="0.35">
      <c r="A100" s="3" t="str">
        <f>"03-46"</f>
        <v>03-46</v>
      </c>
      <c r="B100" s="3"/>
      <c r="C100" s="3" t="s">
        <v>369</v>
      </c>
      <c r="D100" s="3" t="s">
        <v>265</v>
      </c>
      <c r="E100" s="3" t="s">
        <v>111</v>
      </c>
      <c r="F100" s="3" t="s">
        <v>370</v>
      </c>
      <c r="G100" s="3" t="s">
        <v>282</v>
      </c>
      <c r="H100" s="3" t="s">
        <v>266</v>
      </c>
      <c r="I100" s="3" t="s">
        <v>280</v>
      </c>
      <c r="J100" s="3" t="s">
        <v>78</v>
      </c>
      <c r="K100" s="3" t="str">
        <f>"402-952-4599"</f>
        <v>402-952-4599</v>
      </c>
    </row>
    <row r="101" spans="1:11" x14ac:dyDescent="0.35">
      <c r="A101" s="3" t="str">
        <f>"96-64"</f>
        <v>96-64</v>
      </c>
      <c r="B101" s="3" t="s">
        <v>1810</v>
      </c>
      <c r="C101" s="3" t="s">
        <v>1811</v>
      </c>
      <c r="D101" s="3" t="s">
        <v>728</v>
      </c>
      <c r="E101" s="3" t="s">
        <v>729</v>
      </c>
      <c r="F101" s="3" t="s">
        <v>1812</v>
      </c>
      <c r="G101" s="3" t="s">
        <v>86</v>
      </c>
      <c r="H101" s="3" t="s">
        <v>83</v>
      </c>
      <c r="I101" s="3" t="s">
        <v>84</v>
      </c>
      <c r="J101" s="3" t="s">
        <v>87</v>
      </c>
      <c r="K101" s="3" t="str">
        <f>"602-200-5660"</f>
        <v>602-200-5660</v>
      </c>
    </row>
    <row r="102" spans="1:11" x14ac:dyDescent="0.35">
      <c r="A102" s="3" t="str">
        <f>"97-63"</f>
        <v>97-63</v>
      </c>
      <c r="B102" s="3" t="s">
        <v>1876</v>
      </c>
      <c r="C102" s="3" t="s">
        <v>1877</v>
      </c>
      <c r="D102" s="3" t="s">
        <v>728</v>
      </c>
      <c r="E102" s="3" t="s">
        <v>729</v>
      </c>
      <c r="F102" s="3" t="s">
        <v>1812</v>
      </c>
      <c r="G102" s="3" t="s">
        <v>86</v>
      </c>
      <c r="H102" s="3" t="s">
        <v>83</v>
      </c>
      <c r="I102" s="3" t="s">
        <v>84</v>
      </c>
      <c r="J102" s="3" t="s">
        <v>87</v>
      </c>
      <c r="K102" s="3" t="str">
        <f>"602-200-5660"</f>
        <v>602-200-5660</v>
      </c>
    </row>
    <row r="103" spans="1:11" x14ac:dyDescent="0.35">
      <c r="A103" s="3" t="str">
        <f>"10-10-6"</f>
        <v>10-10-6</v>
      </c>
      <c r="B103" s="3" t="s">
        <v>1023</v>
      </c>
      <c r="C103" s="3" t="s">
        <v>1024</v>
      </c>
      <c r="D103" s="3" t="s">
        <v>159</v>
      </c>
      <c r="E103" s="3" t="s">
        <v>160</v>
      </c>
      <c r="F103" s="3" t="s">
        <v>1025</v>
      </c>
      <c r="G103" s="3" t="s">
        <v>1026</v>
      </c>
      <c r="H103" s="3" t="s">
        <v>59</v>
      </c>
      <c r="I103" s="3" t="s">
        <v>60</v>
      </c>
      <c r="J103" s="3" t="s">
        <v>44</v>
      </c>
      <c r="K103" s="3" t="str">
        <f>"515-225-4782"</f>
        <v>515-225-4782</v>
      </c>
    </row>
    <row r="104" spans="1:11" x14ac:dyDescent="0.35">
      <c r="A104" s="3" t="str">
        <f>"04-39"</f>
        <v>04-39</v>
      </c>
      <c r="B104" s="3" t="s">
        <v>417</v>
      </c>
      <c r="C104" s="3" t="s">
        <v>418</v>
      </c>
      <c r="D104" s="3" t="s">
        <v>141</v>
      </c>
      <c r="E104" s="3" t="s">
        <v>142</v>
      </c>
      <c r="F104" s="3" t="s">
        <v>419</v>
      </c>
      <c r="G104" s="3" t="s">
        <v>42</v>
      </c>
      <c r="H104" s="3" t="s">
        <v>39</v>
      </c>
      <c r="I104" s="3" t="s">
        <v>40</v>
      </c>
      <c r="J104" s="3" t="s">
        <v>44</v>
      </c>
      <c r="K104" s="3" t="str">
        <f>"515-262-5965"</f>
        <v>515-262-5965</v>
      </c>
    </row>
    <row r="105" spans="1:11" x14ac:dyDescent="0.35">
      <c r="A105" s="3" t="str">
        <f>"93-27"</f>
        <v>93-27</v>
      </c>
      <c r="B105" s="3"/>
      <c r="C105" s="3" t="s">
        <v>1670</v>
      </c>
      <c r="D105" s="3" t="s">
        <v>959</v>
      </c>
      <c r="E105" s="3" t="s">
        <v>160</v>
      </c>
      <c r="F105" s="3" t="s">
        <v>1671</v>
      </c>
      <c r="G105" s="3" t="s">
        <v>680</v>
      </c>
      <c r="H105" s="3" t="s">
        <v>679</v>
      </c>
      <c r="I105" s="3" t="s">
        <v>680</v>
      </c>
      <c r="J105" s="3" t="s">
        <v>16</v>
      </c>
      <c r="K105" s="3" t="str">
        <f>"515-689-8593"</f>
        <v>515-689-8593</v>
      </c>
    </row>
    <row r="106" spans="1:11" x14ac:dyDescent="0.35">
      <c r="A106" s="3" t="str">
        <f>"03-22"</f>
        <v>03-22</v>
      </c>
      <c r="B106" s="3" t="s">
        <v>323</v>
      </c>
      <c r="C106" s="3" t="s">
        <v>324</v>
      </c>
      <c r="D106" s="3" t="s">
        <v>10</v>
      </c>
      <c r="E106" s="3" t="s">
        <v>11</v>
      </c>
      <c r="F106" s="3" t="s">
        <v>325</v>
      </c>
      <c r="G106" s="3" t="s">
        <v>322</v>
      </c>
      <c r="H106" s="3" t="s">
        <v>319</v>
      </c>
      <c r="I106" s="3" t="s">
        <v>320</v>
      </c>
      <c r="J106" s="3" t="s">
        <v>16</v>
      </c>
      <c r="K106" s="3" t="str">
        <f>"651-815-0665"</f>
        <v>651-815-0665</v>
      </c>
    </row>
    <row r="107" spans="1:11" x14ac:dyDescent="0.35">
      <c r="A107" s="3" t="str">
        <f>"03-21"</f>
        <v>03-21</v>
      </c>
      <c r="B107" s="3" t="s">
        <v>317</v>
      </c>
      <c r="C107" s="3" t="s">
        <v>318</v>
      </c>
      <c r="D107" s="3" t="s">
        <v>10</v>
      </c>
      <c r="E107" s="3" t="s">
        <v>11</v>
      </c>
      <c r="F107" s="3" t="s">
        <v>321</v>
      </c>
      <c r="G107" s="3" t="s">
        <v>322</v>
      </c>
      <c r="H107" s="3" t="s">
        <v>319</v>
      </c>
      <c r="I107" s="3" t="s">
        <v>320</v>
      </c>
      <c r="J107" s="3" t="s">
        <v>16</v>
      </c>
      <c r="K107" s="3" t="str">
        <f>"651-815-0665"</f>
        <v>651-815-0665</v>
      </c>
    </row>
    <row r="108" spans="1:11" x14ac:dyDescent="0.35">
      <c r="A108" s="4" t="str">
        <f>"96-55"</f>
        <v>96-55</v>
      </c>
      <c r="B108" s="4" t="s">
        <v>1803</v>
      </c>
      <c r="C108" s="4" t="s">
        <v>1804</v>
      </c>
      <c r="D108" s="4" t="s">
        <v>399</v>
      </c>
      <c r="E108" s="4" t="s">
        <v>400</v>
      </c>
      <c r="F108" s="4" t="s">
        <v>1805</v>
      </c>
      <c r="G108" s="4" t="s">
        <v>705</v>
      </c>
      <c r="H108" s="4" t="s">
        <v>704</v>
      </c>
      <c r="I108" s="4" t="s">
        <v>705</v>
      </c>
      <c r="J108" s="4" t="s">
        <v>2063</v>
      </c>
      <c r="K108" s="4" t="str">
        <f>"515-490-9001"</f>
        <v>515-490-9001</v>
      </c>
    </row>
    <row r="109" spans="1:11" x14ac:dyDescent="0.35">
      <c r="A109" s="3" t="str">
        <f>"13-13-40"</f>
        <v>13-13-40</v>
      </c>
      <c r="B109" s="3" t="s">
        <v>1214</v>
      </c>
      <c r="C109" s="3" t="s">
        <v>1215</v>
      </c>
      <c r="D109" s="3" t="s">
        <v>1100</v>
      </c>
      <c r="E109" s="3" t="s">
        <v>1101</v>
      </c>
      <c r="F109" s="3" t="s">
        <v>1216</v>
      </c>
      <c r="G109" s="3" t="s">
        <v>1103</v>
      </c>
      <c r="H109" s="3" t="s">
        <v>59</v>
      </c>
      <c r="I109" s="3" t="s">
        <v>60</v>
      </c>
      <c r="J109" s="3" t="s">
        <v>44</v>
      </c>
      <c r="K109" s="3" t="str">
        <f>"712-262-5640"</f>
        <v>712-262-5640</v>
      </c>
    </row>
    <row r="110" spans="1:11" x14ac:dyDescent="0.35">
      <c r="A110" s="3" t="s">
        <v>911</v>
      </c>
      <c r="B110" s="3" t="s">
        <v>911</v>
      </c>
      <c r="C110" s="3" t="s">
        <v>912</v>
      </c>
      <c r="D110" s="3" t="s">
        <v>913</v>
      </c>
      <c r="E110" s="3" t="s">
        <v>746</v>
      </c>
      <c r="F110" s="3" t="s">
        <v>749</v>
      </c>
      <c r="G110" s="3" t="s">
        <v>750</v>
      </c>
      <c r="H110" s="3" t="s">
        <v>747</v>
      </c>
      <c r="I110" s="3" t="s">
        <v>748</v>
      </c>
      <c r="J110" s="3" t="s">
        <v>87</v>
      </c>
      <c r="K110" s="3" t="str">
        <f>"641-220-3714"</f>
        <v>641-220-3714</v>
      </c>
    </row>
    <row r="111" spans="1:11" x14ac:dyDescent="0.35">
      <c r="A111" s="3" t="s">
        <v>743</v>
      </c>
      <c r="B111" s="3" t="s">
        <v>743</v>
      </c>
      <c r="C111" s="3" t="s">
        <v>744</v>
      </c>
      <c r="D111" s="3" t="s">
        <v>745</v>
      </c>
      <c r="E111" s="3" t="s">
        <v>746</v>
      </c>
      <c r="F111" s="3" t="s">
        <v>749</v>
      </c>
      <c r="G111" s="3" t="s">
        <v>750</v>
      </c>
      <c r="H111" s="3" t="s">
        <v>747</v>
      </c>
      <c r="I111" s="3" t="s">
        <v>748</v>
      </c>
      <c r="J111" s="3" t="s">
        <v>87</v>
      </c>
      <c r="K111" s="3" t="str">
        <f>"641-220-3714"</f>
        <v>641-220-3714</v>
      </c>
    </row>
    <row r="112" spans="1:11" x14ac:dyDescent="0.35">
      <c r="A112" s="3" t="str">
        <f>"14-14-6"</f>
        <v>14-14-6</v>
      </c>
      <c r="B112" s="3"/>
      <c r="C112" s="3" t="s">
        <v>1293</v>
      </c>
      <c r="D112" s="3" t="s">
        <v>110</v>
      </c>
      <c r="E112" s="3" t="s">
        <v>111</v>
      </c>
      <c r="F112" s="3" t="s">
        <v>1295</v>
      </c>
      <c r="G112" s="3" t="s">
        <v>1296</v>
      </c>
      <c r="H112" s="3" t="s">
        <v>286</v>
      </c>
      <c r="I112" s="3" t="s">
        <v>1294</v>
      </c>
      <c r="J112" s="3" t="s">
        <v>16</v>
      </c>
      <c r="K112" s="3" t="str">
        <f>"317-252-0221"</f>
        <v>317-252-0221</v>
      </c>
    </row>
    <row r="113" spans="1:11" x14ac:dyDescent="0.35">
      <c r="A113" s="3" t="str">
        <f>"06-41"</f>
        <v>06-41</v>
      </c>
      <c r="B113" s="3" t="s">
        <v>628</v>
      </c>
      <c r="C113" s="3" t="s">
        <v>629</v>
      </c>
      <c r="D113" s="3" t="s">
        <v>630</v>
      </c>
      <c r="E113" s="3" t="s">
        <v>631</v>
      </c>
      <c r="F113" s="3" t="s">
        <v>632</v>
      </c>
      <c r="G113" s="3" t="s">
        <v>634</v>
      </c>
      <c r="H113" s="3" t="s">
        <v>632</v>
      </c>
      <c r="I113" s="3" t="s">
        <v>633</v>
      </c>
      <c r="J113" s="3" t="s">
        <v>87</v>
      </c>
      <c r="K113" s="3" t="str">
        <f>"319-352-0130"</f>
        <v>319-352-0130</v>
      </c>
    </row>
    <row r="114" spans="1:11" x14ac:dyDescent="0.35">
      <c r="A114" s="3" t="str">
        <f>"07-30"</f>
        <v>07-30</v>
      </c>
      <c r="B114" s="3"/>
      <c r="C114" s="3" t="s">
        <v>696</v>
      </c>
      <c r="D114" s="3" t="s">
        <v>159</v>
      </c>
      <c r="E114" s="3" t="s">
        <v>160</v>
      </c>
      <c r="F114" s="3" t="s">
        <v>697</v>
      </c>
      <c r="G114" s="3" t="s">
        <v>42</v>
      </c>
      <c r="H114" s="3" t="s">
        <v>39</v>
      </c>
      <c r="I114" s="3" t="s">
        <v>40</v>
      </c>
      <c r="J114" s="3" t="s">
        <v>44</v>
      </c>
      <c r="K114" s="3" t="str">
        <f>"515-262-5965"</f>
        <v>515-262-5965</v>
      </c>
    </row>
    <row r="115" spans="1:11" x14ac:dyDescent="0.35">
      <c r="A115" s="3" t="str">
        <f>"13-13-41"</f>
        <v>13-13-41</v>
      </c>
      <c r="B115" s="3" t="s">
        <v>1217</v>
      </c>
      <c r="C115" s="3" t="s">
        <v>1218</v>
      </c>
      <c r="D115" s="3" t="s">
        <v>1219</v>
      </c>
      <c r="E115" s="3" t="s">
        <v>1220</v>
      </c>
      <c r="F115" s="3" t="s">
        <v>1216</v>
      </c>
      <c r="G115" s="3" t="s">
        <v>1103</v>
      </c>
      <c r="H115" s="3" t="s">
        <v>59</v>
      </c>
      <c r="I115" s="3" t="s">
        <v>60</v>
      </c>
      <c r="J115" s="3" t="s">
        <v>44</v>
      </c>
      <c r="K115" s="3" t="str">
        <f>"712-262-5640"</f>
        <v>712-262-5640</v>
      </c>
    </row>
    <row r="116" spans="1:11" x14ac:dyDescent="0.35">
      <c r="A116" s="3" t="str">
        <f>"98-28"</f>
        <v>98-28</v>
      </c>
      <c r="B116" s="3" t="s">
        <v>1928</v>
      </c>
      <c r="C116" s="3" t="s">
        <v>1929</v>
      </c>
      <c r="D116" s="3" t="s">
        <v>57</v>
      </c>
      <c r="E116" s="3" t="s">
        <v>58</v>
      </c>
      <c r="F116" s="3" t="s">
        <v>1930</v>
      </c>
      <c r="G116" s="3" t="s">
        <v>62</v>
      </c>
      <c r="H116" s="3" t="s">
        <v>59</v>
      </c>
      <c r="I116" s="3" t="s">
        <v>60</v>
      </c>
      <c r="J116" s="3" t="s">
        <v>44</v>
      </c>
      <c r="K116" s="3" t="str">
        <f>"319-338-7600"</f>
        <v>319-338-7600</v>
      </c>
    </row>
    <row r="117" spans="1:11" x14ac:dyDescent="0.35">
      <c r="A117" s="3" t="str">
        <f>"16-17"</f>
        <v>16-17</v>
      </c>
      <c r="B117" s="3"/>
      <c r="C117" s="3" t="s">
        <v>1382</v>
      </c>
      <c r="D117" s="3" t="s">
        <v>1383</v>
      </c>
      <c r="E117" s="3" t="s">
        <v>58</v>
      </c>
      <c r="F117" s="3" t="s">
        <v>1384</v>
      </c>
      <c r="G117" s="3" t="s">
        <v>1261</v>
      </c>
      <c r="H117" s="3" t="s">
        <v>1258</v>
      </c>
      <c r="I117" s="3" t="s">
        <v>1259</v>
      </c>
      <c r="J117" s="3" t="s">
        <v>31</v>
      </c>
      <c r="K117" s="3" t="str">
        <f>"320-202-3100"</f>
        <v>320-202-3100</v>
      </c>
    </row>
    <row r="118" spans="1:11" x14ac:dyDescent="0.35">
      <c r="A118" s="3" t="str">
        <f>"16-16"</f>
        <v>16-16</v>
      </c>
      <c r="B118" s="3"/>
      <c r="C118" s="3" t="s">
        <v>1379</v>
      </c>
      <c r="D118" s="3" t="s">
        <v>159</v>
      </c>
      <c r="E118" s="3" t="s">
        <v>160</v>
      </c>
      <c r="F118" s="3" t="s">
        <v>1380</v>
      </c>
      <c r="G118" s="3" t="s">
        <v>1381</v>
      </c>
      <c r="H118" s="3" t="s">
        <v>704</v>
      </c>
      <c r="I118" s="3" t="s">
        <v>705</v>
      </c>
      <c r="J118" s="3" t="s">
        <v>31</v>
      </c>
      <c r="K118" s="3" t="str">
        <f>"515-255-9399"</f>
        <v>515-255-9399</v>
      </c>
    </row>
    <row r="119" spans="1:11" x14ac:dyDescent="0.35">
      <c r="A119" s="3" t="str">
        <f>"11-11-22"</f>
        <v>11-11-22</v>
      </c>
      <c r="B119" s="3"/>
      <c r="C119" s="3" t="s">
        <v>1066</v>
      </c>
      <c r="D119" s="3" t="s">
        <v>279</v>
      </c>
      <c r="E119" s="3" t="s">
        <v>160</v>
      </c>
      <c r="F119" s="3" t="s">
        <v>1069</v>
      </c>
      <c r="G119" s="3" t="s">
        <v>1070</v>
      </c>
      <c r="H119" s="3" t="s">
        <v>1067</v>
      </c>
      <c r="I119" s="3" t="s">
        <v>1068</v>
      </c>
      <c r="J119" s="3" t="s">
        <v>44</v>
      </c>
      <c r="K119" s="3" t="str">
        <f>"608-824-2292"</f>
        <v>608-824-2292</v>
      </c>
    </row>
    <row r="120" spans="1:11" x14ac:dyDescent="0.35">
      <c r="A120" s="3" t="str">
        <f>"11-11-46"</f>
        <v>11-11-46</v>
      </c>
      <c r="B120" s="3" t="s">
        <v>1081</v>
      </c>
      <c r="C120" s="3" t="s">
        <v>1082</v>
      </c>
      <c r="D120" s="3" t="s">
        <v>57</v>
      </c>
      <c r="E120" s="3" t="s">
        <v>58</v>
      </c>
      <c r="F120" s="3" t="s">
        <v>1083</v>
      </c>
      <c r="G120" s="3" t="s">
        <v>119</v>
      </c>
      <c r="H120" s="3" t="s">
        <v>118</v>
      </c>
      <c r="I120" s="3" t="s">
        <v>119</v>
      </c>
      <c r="J120" s="3" t="s">
        <v>31</v>
      </c>
      <c r="K120" s="3" t="str">
        <f>"319-358-9212"</f>
        <v>319-358-9212</v>
      </c>
    </row>
    <row r="121" spans="1:11" x14ac:dyDescent="0.35">
      <c r="A121" s="3" t="str">
        <f>"99-24"</f>
        <v>99-24</v>
      </c>
      <c r="B121" s="3"/>
      <c r="C121" s="3" t="s">
        <v>2011</v>
      </c>
      <c r="D121" s="3" t="s">
        <v>399</v>
      </c>
      <c r="E121" s="3" t="s">
        <v>400</v>
      </c>
      <c r="F121" s="3" t="s">
        <v>2012</v>
      </c>
      <c r="G121" s="3" t="s">
        <v>15</v>
      </c>
      <c r="H121" s="3" t="s">
        <v>12</v>
      </c>
      <c r="I121" s="3" t="s">
        <v>13</v>
      </c>
      <c r="J121" s="3" t="s">
        <v>16</v>
      </c>
      <c r="K121" s="3" t="str">
        <f>"608-348-7755"</f>
        <v>608-348-7755</v>
      </c>
    </row>
    <row r="122" spans="1:11" x14ac:dyDescent="0.35">
      <c r="A122" s="3" t="str">
        <f>"10-10-7"</f>
        <v>10-10-7</v>
      </c>
      <c r="B122" s="3"/>
      <c r="C122" s="3" t="s">
        <v>1027</v>
      </c>
      <c r="D122" s="3" t="s">
        <v>279</v>
      </c>
      <c r="E122" s="3" t="s">
        <v>160</v>
      </c>
      <c r="F122" s="3" t="s">
        <v>1028</v>
      </c>
      <c r="G122" s="3" t="s">
        <v>442</v>
      </c>
      <c r="H122" s="3" t="s">
        <v>439</v>
      </c>
      <c r="I122" s="3" t="s">
        <v>440</v>
      </c>
      <c r="J122" s="3" t="s">
        <v>87</v>
      </c>
      <c r="K122" s="3" t="str">
        <f>"515-280-2053"</f>
        <v>515-280-2053</v>
      </c>
    </row>
    <row r="123" spans="1:11" x14ac:dyDescent="0.35">
      <c r="A123" s="3" t="str">
        <f>"97-17"</f>
        <v>97-17</v>
      </c>
      <c r="B123" s="3"/>
      <c r="C123" s="3" t="s">
        <v>1840</v>
      </c>
      <c r="D123" s="3" t="s">
        <v>1545</v>
      </c>
      <c r="E123" s="3" t="s">
        <v>1546</v>
      </c>
      <c r="F123" s="3" t="s">
        <v>1841</v>
      </c>
      <c r="G123" s="3" t="s">
        <v>247</v>
      </c>
      <c r="H123" s="3" t="s">
        <v>246</v>
      </c>
      <c r="I123" s="3" t="s">
        <v>247</v>
      </c>
      <c r="J123" s="3" t="s">
        <v>16</v>
      </c>
      <c r="K123" s="3" t="str">
        <f>"262-790-4560"</f>
        <v>262-790-4560</v>
      </c>
    </row>
    <row r="124" spans="1:11" x14ac:dyDescent="0.35">
      <c r="A124" s="3" t="str">
        <f>"06-51"</f>
        <v>06-51</v>
      </c>
      <c r="B124" s="3"/>
      <c r="C124" s="3" t="s">
        <v>651</v>
      </c>
      <c r="D124" s="3" t="s">
        <v>188</v>
      </c>
      <c r="E124" s="3" t="s">
        <v>160</v>
      </c>
      <c r="F124" s="3" t="s">
        <v>654</v>
      </c>
      <c r="G124" s="3" t="s">
        <v>655</v>
      </c>
      <c r="H124" s="3" t="s">
        <v>652</v>
      </c>
      <c r="I124" s="3" t="s">
        <v>653</v>
      </c>
      <c r="J124" s="3" t="s">
        <v>31</v>
      </c>
      <c r="K124" s="3" t="str">
        <f>"515-223-4500"</f>
        <v>515-223-4500</v>
      </c>
    </row>
    <row r="125" spans="1:11" x14ac:dyDescent="0.35">
      <c r="A125" s="3" t="str">
        <f>"94-13"</f>
        <v>94-13</v>
      </c>
      <c r="B125" s="3"/>
      <c r="C125" s="3" t="s">
        <v>1708</v>
      </c>
      <c r="D125" s="3" t="s">
        <v>110</v>
      </c>
      <c r="E125" s="3" t="s">
        <v>111</v>
      </c>
      <c r="F125" s="3" t="s">
        <v>1709</v>
      </c>
      <c r="G125" s="3" t="s">
        <v>364</v>
      </c>
      <c r="H125" s="3" t="s">
        <v>361</v>
      </c>
      <c r="I125" s="3" t="s">
        <v>362</v>
      </c>
      <c r="J125" s="3" t="s">
        <v>78</v>
      </c>
      <c r="K125" s="3" t="str">
        <f>"312-285-6335"</f>
        <v>312-285-6335</v>
      </c>
    </row>
    <row r="126" spans="1:11" x14ac:dyDescent="0.35">
      <c r="A126" s="3" t="str">
        <f>"99-70"</f>
        <v>99-70</v>
      </c>
      <c r="B126" s="3" t="s">
        <v>2034</v>
      </c>
      <c r="C126" s="3" t="s">
        <v>2035</v>
      </c>
      <c r="D126" s="3" t="s">
        <v>141</v>
      </c>
      <c r="E126" s="3" t="s">
        <v>142</v>
      </c>
      <c r="F126" s="3" t="s">
        <v>2036</v>
      </c>
      <c r="G126" s="3" t="s">
        <v>247</v>
      </c>
      <c r="H126" s="3" t="s">
        <v>246</v>
      </c>
      <c r="I126" s="3" t="s">
        <v>247</v>
      </c>
      <c r="J126" s="3" t="s">
        <v>16</v>
      </c>
      <c r="K126" s="3" t="str">
        <f>"262-790-4560"</f>
        <v>262-790-4560</v>
      </c>
    </row>
    <row r="127" spans="1:11" x14ac:dyDescent="0.35">
      <c r="A127" s="3" t="str">
        <f>"95-78"</f>
        <v>95-78</v>
      </c>
      <c r="B127" s="3" t="s">
        <v>1786</v>
      </c>
      <c r="C127" s="3" t="s">
        <v>1787</v>
      </c>
      <c r="D127" s="3" t="s">
        <v>1509</v>
      </c>
      <c r="E127" s="3" t="s">
        <v>1510</v>
      </c>
      <c r="F127" s="3" t="s">
        <v>1788</v>
      </c>
      <c r="G127" s="3" t="s">
        <v>705</v>
      </c>
      <c r="H127" s="3" t="s">
        <v>704</v>
      </c>
      <c r="I127" s="3" t="s">
        <v>705</v>
      </c>
      <c r="J127" s="3" t="s">
        <v>31</v>
      </c>
      <c r="K127" s="3" t="str">
        <f>"515-490-9001"</f>
        <v>515-490-9001</v>
      </c>
    </row>
    <row r="128" spans="1:11" x14ac:dyDescent="0.35">
      <c r="A128" s="3" t="str">
        <f>"04-47"</f>
        <v>04-47</v>
      </c>
      <c r="B128" s="3"/>
      <c r="C128" s="3" t="s">
        <v>443</v>
      </c>
      <c r="D128" s="3" t="s">
        <v>159</v>
      </c>
      <c r="E128" s="3" t="s">
        <v>160</v>
      </c>
      <c r="F128" s="3" t="s">
        <v>444</v>
      </c>
      <c r="G128" s="3" t="s">
        <v>442</v>
      </c>
      <c r="H128" s="3" t="s">
        <v>439</v>
      </c>
      <c r="I128" s="3" t="s">
        <v>440</v>
      </c>
      <c r="J128" s="3" t="s">
        <v>87</v>
      </c>
      <c r="K128" s="3" t="str">
        <f>"515-280-2053"</f>
        <v>515-280-2053</v>
      </c>
    </row>
    <row r="129" spans="1:11" x14ac:dyDescent="0.35">
      <c r="A129" s="3" t="str">
        <f>"17-01"</f>
        <v>17-01</v>
      </c>
      <c r="B129" s="3"/>
      <c r="C129" s="3" t="s">
        <v>1402</v>
      </c>
      <c r="D129" s="3" t="s">
        <v>52</v>
      </c>
      <c r="E129" s="3" t="s">
        <v>38</v>
      </c>
      <c r="F129" s="3" t="s">
        <v>1403</v>
      </c>
      <c r="G129" s="3" t="s">
        <v>42</v>
      </c>
      <c r="H129" s="3" t="s">
        <v>39</v>
      </c>
      <c r="I129" s="3" t="s">
        <v>40</v>
      </c>
      <c r="J129" s="3" t="s">
        <v>44</v>
      </c>
      <c r="K129" s="3" t="str">
        <f>"515-262-5965"</f>
        <v>515-262-5965</v>
      </c>
    </row>
    <row r="130" spans="1:11" x14ac:dyDescent="0.35">
      <c r="A130" s="3" t="str">
        <f>"97-03"</f>
        <v>97-03</v>
      </c>
      <c r="B130" s="3" t="s">
        <v>1826</v>
      </c>
      <c r="C130" s="3" t="s">
        <v>1827</v>
      </c>
      <c r="D130" s="3" t="s">
        <v>52</v>
      </c>
      <c r="E130" s="3" t="s">
        <v>38</v>
      </c>
      <c r="F130" s="3" t="s">
        <v>1403</v>
      </c>
      <c r="G130" s="3" t="s">
        <v>1103</v>
      </c>
      <c r="H130" s="3" t="s">
        <v>39</v>
      </c>
      <c r="I130" s="3" t="s">
        <v>40</v>
      </c>
      <c r="J130" s="3" t="s">
        <v>44</v>
      </c>
      <c r="K130" s="3" t="str">
        <f>"515-262-5965"</f>
        <v>515-262-5965</v>
      </c>
    </row>
    <row r="131" spans="1:11" x14ac:dyDescent="0.35">
      <c r="A131" s="3" t="str">
        <f>"11-11-57"</f>
        <v>11-11-57</v>
      </c>
      <c r="B131" s="3"/>
      <c r="C131" s="3" t="s">
        <v>1089</v>
      </c>
      <c r="D131" s="3" t="s">
        <v>159</v>
      </c>
      <c r="E131" s="3" t="s">
        <v>160</v>
      </c>
      <c r="F131" s="3" t="s">
        <v>1090</v>
      </c>
      <c r="G131" s="3" t="s">
        <v>1091</v>
      </c>
      <c r="H131" s="3" t="s">
        <v>20</v>
      </c>
      <c r="I131" s="3" t="s">
        <v>21</v>
      </c>
      <c r="J131" s="3" t="s">
        <v>16</v>
      </c>
      <c r="K131" s="3" t="str">
        <f>"651-523-1246"</f>
        <v>651-523-1246</v>
      </c>
    </row>
    <row r="132" spans="1:11" x14ac:dyDescent="0.35">
      <c r="A132" s="3" t="str">
        <f>"96-06"</f>
        <v>96-06</v>
      </c>
      <c r="B132" s="3" t="s">
        <v>1789</v>
      </c>
      <c r="C132" s="3" t="s">
        <v>1790</v>
      </c>
      <c r="D132" s="3" t="s">
        <v>244</v>
      </c>
      <c r="E132" s="3" t="s">
        <v>245</v>
      </c>
      <c r="F132" s="3" t="s">
        <v>664</v>
      </c>
      <c r="G132" s="3" t="s">
        <v>665</v>
      </c>
      <c r="H132" s="3" t="s">
        <v>664</v>
      </c>
      <c r="I132" s="3" t="s">
        <v>665</v>
      </c>
      <c r="J132" s="3" t="s">
        <v>31</v>
      </c>
      <c r="K132" s="3" t="str">
        <f>"816-233-0042"</f>
        <v>816-233-0042</v>
      </c>
    </row>
    <row r="133" spans="1:11" x14ac:dyDescent="0.35">
      <c r="A133" s="3" t="str">
        <f>"07-01"</f>
        <v>07-01</v>
      </c>
      <c r="B133" s="3" t="s">
        <v>662</v>
      </c>
      <c r="C133" s="3" t="s">
        <v>663</v>
      </c>
      <c r="D133" s="3" t="s">
        <v>244</v>
      </c>
      <c r="E133" s="3" t="s">
        <v>245</v>
      </c>
      <c r="F133" s="3" t="s">
        <v>666</v>
      </c>
      <c r="G133" s="3" t="s">
        <v>667</v>
      </c>
      <c r="H133" s="3" t="s">
        <v>664</v>
      </c>
      <c r="I133" s="3" t="s">
        <v>665</v>
      </c>
      <c r="J133" s="3" t="s">
        <v>31</v>
      </c>
      <c r="K133" s="3" t="str">
        <f>"816-569-6420"</f>
        <v>816-569-6420</v>
      </c>
    </row>
    <row r="134" spans="1:11" x14ac:dyDescent="0.35">
      <c r="A134" s="3" t="str">
        <f>"91-61"</f>
        <v>91-61</v>
      </c>
      <c r="B134" s="3"/>
      <c r="C134" s="3" t="s">
        <v>1601</v>
      </c>
      <c r="D134" s="3" t="s">
        <v>1602</v>
      </c>
      <c r="E134" s="3" t="s">
        <v>150</v>
      </c>
      <c r="F134" s="3" t="s">
        <v>1603</v>
      </c>
      <c r="G134" s="3" t="s">
        <v>1604</v>
      </c>
      <c r="H134" s="3" t="s">
        <v>83</v>
      </c>
      <c r="I134" s="3" t="s">
        <v>84</v>
      </c>
      <c r="J134" s="3" t="s">
        <v>87</v>
      </c>
      <c r="K134" s="3" t="str">
        <f>"641-352-0117"</f>
        <v>641-352-0117</v>
      </c>
    </row>
    <row r="135" spans="1:11" x14ac:dyDescent="0.35">
      <c r="A135" s="3" t="str">
        <f>"93-30"</f>
        <v>93-30</v>
      </c>
      <c r="B135" s="3"/>
      <c r="C135" s="3" t="s">
        <v>1676</v>
      </c>
      <c r="D135" s="3" t="s">
        <v>149</v>
      </c>
      <c r="E135" s="3" t="s">
        <v>150</v>
      </c>
      <c r="F135" s="3" t="s">
        <v>1679</v>
      </c>
      <c r="G135" s="3" t="s">
        <v>1680</v>
      </c>
      <c r="H135" s="3" t="s">
        <v>1677</v>
      </c>
      <c r="I135" s="3" t="s">
        <v>1678</v>
      </c>
      <c r="J135" s="3" t="s">
        <v>87</v>
      </c>
      <c r="K135" s="3" t="str">
        <f>"641-753-9034"</f>
        <v>641-753-9034</v>
      </c>
    </row>
    <row r="136" spans="1:11" x14ac:dyDescent="0.35">
      <c r="A136" s="3" t="str">
        <f>"09-0904"</f>
        <v>09-0904</v>
      </c>
      <c r="B136" s="3"/>
      <c r="C136" s="3" t="s">
        <v>846</v>
      </c>
      <c r="D136" s="3" t="s">
        <v>188</v>
      </c>
      <c r="E136" s="3" t="s">
        <v>160</v>
      </c>
      <c r="F136" s="3" t="s">
        <v>847</v>
      </c>
      <c r="G136" s="3" t="s">
        <v>42</v>
      </c>
      <c r="H136" s="3" t="s">
        <v>39</v>
      </c>
      <c r="I136" s="3" t="s">
        <v>40</v>
      </c>
      <c r="J136" s="3" t="s">
        <v>44</v>
      </c>
      <c r="K136" s="3" t="str">
        <f>"515-262-5965"</f>
        <v>515-262-5965</v>
      </c>
    </row>
    <row r="137" spans="1:11" x14ac:dyDescent="0.35">
      <c r="A137" s="3" t="str">
        <f>"16-33"</f>
        <v>16-33</v>
      </c>
      <c r="B137" s="3"/>
      <c r="C137" s="3" t="s">
        <v>1392</v>
      </c>
      <c r="D137" s="3" t="s">
        <v>110</v>
      </c>
      <c r="E137" s="3" t="s">
        <v>111</v>
      </c>
      <c r="F137" s="3" t="s">
        <v>1393</v>
      </c>
      <c r="G137" s="3" t="s">
        <v>857</v>
      </c>
      <c r="H137" s="3" t="s">
        <v>856</v>
      </c>
      <c r="I137" s="3" t="s">
        <v>857</v>
      </c>
      <c r="J137" s="3" t="s">
        <v>78</v>
      </c>
      <c r="K137" s="3" t="str">
        <f>"651-291-1750"</f>
        <v>651-291-1750</v>
      </c>
    </row>
    <row r="138" spans="1:11" x14ac:dyDescent="0.35">
      <c r="A138" s="3" t="str">
        <f>"07-37"</f>
        <v>07-37</v>
      </c>
      <c r="B138" s="3"/>
      <c r="C138" s="3" t="s">
        <v>708</v>
      </c>
      <c r="D138" s="3" t="s">
        <v>10</v>
      </c>
      <c r="E138" s="3" t="s">
        <v>11</v>
      </c>
      <c r="F138" s="3" t="s">
        <v>711</v>
      </c>
      <c r="G138" s="3" t="s">
        <v>712</v>
      </c>
      <c r="H138" s="3" t="s">
        <v>709</v>
      </c>
      <c r="I138" s="3" t="s">
        <v>710</v>
      </c>
      <c r="J138" s="3" t="s">
        <v>16</v>
      </c>
      <c r="K138" s="3" t="str">
        <f>"317-587-0320"</f>
        <v>317-587-0320</v>
      </c>
    </row>
    <row r="139" spans="1:11" x14ac:dyDescent="0.35">
      <c r="A139" s="3" t="str">
        <f>"08-0901"</f>
        <v>08-0901</v>
      </c>
      <c r="B139" s="3"/>
      <c r="C139" s="3" t="s">
        <v>781</v>
      </c>
      <c r="D139" s="3" t="s">
        <v>10</v>
      </c>
      <c r="E139" s="3" t="s">
        <v>11</v>
      </c>
      <c r="F139" s="3" t="s">
        <v>782</v>
      </c>
      <c r="G139" s="3" t="s">
        <v>712</v>
      </c>
      <c r="H139" s="3" t="s">
        <v>709</v>
      </c>
      <c r="I139" s="3" t="s">
        <v>710</v>
      </c>
      <c r="J139" s="3" t="s">
        <v>16</v>
      </c>
      <c r="K139" s="3" t="str">
        <f>"317-587-0320"</f>
        <v>317-587-0320</v>
      </c>
    </row>
    <row r="140" spans="1:11" x14ac:dyDescent="0.35">
      <c r="A140" s="3" t="str">
        <f>"10-10-18"</f>
        <v>10-10-18</v>
      </c>
      <c r="B140" s="3"/>
      <c r="C140" s="3" t="s">
        <v>931</v>
      </c>
      <c r="D140" s="3" t="s">
        <v>159</v>
      </c>
      <c r="E140" s="3" t="s">
        <v>160</v>
      </c>
      <c r="F140" s="3" t="s">
        <v>932</v>
      </c>
      <c r="G140" s="3" t="s">
        <v>926</v>
      </c>
      <c r="H140" s="3" t="s">
        <v>717</v>
      </c>
      <c r="I140" s="3" t="s">
        <v>718</v>
      </c>
      <c r="J140" s="3" t="s">
        <v>31</v>
      </c>
      <c r="K140" s="3" t="str">
        <f>"763-354-5500"</f>
        <v>763-354-5500</v>
      </c>
    </row>
    <row r="141" spans="1:11" x14ac:dyDescent="0.35">
      <c r="A141" s="3" t="str">
        <f>"98-50"</f>
        <v>98-50</v>
      </c>
      <c r="B141" s="3" t="s">
        <v>1950</v>
      </c>
      <c r="C141" s="3" t="s">
        <v>1951</v>
      </c>
      <c r="D141" s="3" t="s">
        <v>649</v>
      </c>
      <c r="E141" s="3" t="s">
        <v>11</v>
      </c>
      <c r="F141" s="3" t="s">
        <v>1952</v>
      </c>
      <c r="G141" s="3" t="s">
        <v>705</v>
      </c>
      <c r="H141" s="3" t="s">
        <v>704</v>
      </c>
      <c r="I141" s="3" t="s">
        <v>705</v>
      </c>
      <c r="J141" s="3" t="s">
        <v>31</v>
      </c>
      <c r="K141" s="3" t="str">
        <f>"515-490-9001"</f>
        <v>515-490-9001</v>
      </c>
    </row>
    <row r="142" spans="1:11" x14ac:dyDescent="0.35">
      <c r="A142" s="3" t="str">
        <f>"17-23"</f>
        <v>17-23</v>
      </c>
      <c r="B142" s="3"/>
      <c r="C142" s="3" t="s">
        <v>1425</v>
      </c>
      <c r="D142" s="3" t="s">
        <v>110</v>
      </c>
      <c r="E142" s="3" t="s">
        <v>111</v>
      </c>
      <c r="F142" s="3" t="s">
        <v>1426</v>
      </c>
      <c r="G142" s="3" t="s">
        <v>963</v>
      </c>
      <c r="H142" s="3" t="s">
        <v>960</v>
      </c>
      <c r="I142" s="3" t="s">
        <v>961</v>
      </c>
      <c r="J142" s="3" t="s">
        <v>78</v>
      </c>
      <c r="K142" s="3" t="str">
        <f>"513-964-1140"</f>
        <v>513-964-1140</v>
      </c>
    </row>
    <row r="143" spans="1:11" x14ac:dyDescent="0.35">
      <c r="A143" s="3" t="str">
        <f>"91-07"</f>
        <v>91-07</v>
      </c>
      <c r="B143" s="3"/>
      <c r="C143" s="3" t="s">
        <v>1555</v>
      </c>
      <c r="D143" s="3" t="s">
        <v>1556</v>
      </c>
      <c r="E143" s="3" t="s">
        <v>1557</v>
      </c>
      <c r="F143" s="3" t="s">
        <v>1558</v>
      </c>
      <c r="G143" s="3" t="s">
        <v>108</v>
      </c>
      <c r="H143" s="3" t="s">
        <v>105</v>
      </c>
      <c r="I143" s="3" t="s">
        <v>106</v>
      </c>
      <c r="J143" s="3" t="s">
        <v>87</v>
      </c>
      <c r="K143" s="3" t="str">
        <f>"712-240-2188"</f>
        <v>712-240-2188</v>
      </c>
    </row>
    <row r="144" spans="1:11" x14ac:dyDescent="0.35">
      <c r="A144" s="3" t="str">
        <f>"92-05"</f>
        <v>92-05</v>
      </c>
      <c r="B144" s="3"/>
      <c r="C144" s="3" t="s">
        <v>1610</v>
      </c>
      <c r="D144" s="3" t="s">
        <v>1556</v>
      </c>
      <c r="E144" s="3" t="s">
        <v>1557</v>
      </c>
      <c r="F144" s="3" t="s">
        <v>1558</v>
      </c>
      <c r="G144" s="3" t="s">
        <v>108</v>
      </c>
      <c r="H144" s="3" t="s">
        <v>105</v>
      </c>
      <c r="I144" s="3" t="s">
        <v>106</v>
      </c>
      <c r="J144" s="3" t="s">
        <v>87</v>
      </c>
      <c r="K144" s="3" t="str">
        <f>"712-240-2188"</f>
        <v>712-240-2188</v>
      </c>
    </row>
    <row r="145" spans="1:11" x14ac:dyDescent="0.35">
      <c r="A145" s="3" t="str">
        <f>"91-31"</f>
        <v>91-31</v>
      </c>
      <c r="B145" s="3"/>
      <c r="C145" s="3" t="s">
        <v>1576</v>
      </c>
      <c r="D145" s="3" t="s">
        <v>1577</v>
      </c>
      <c r="E145" s="3" t="s">
        <v>66</v>
      </c>
      <c r="F145" s="3" t="s">
        <v>1578</v>
      </c>
      <c r="G145" s="3" t="s">
        <v>1579</v>
      </c>
      <c r="H145" s="3" t="s">
        <v>1476</v>
      </c>
      <c r="I145" s="3" t="s">
        <v>1477</v>
      </c>
      <c r="J145" s="3" t="s">
        <v>78</v>
      </c>
      <c r="K145" s="3" t="str">
        <f>"515-295-2927"</f>
        <v>515-295-2927</v>
      </c>
    </row>
    <row r="146" spans="1:11" x14ac:dyDescent="0.35">
      <c r="A146" s="3" t="str">
        <f>"03-41"</f>
        <v>03-41</v>
      </c>
      <c r="B146" s="3"/>
      <c r="C146" s="3" t="s">
        <v>360</v>
      </c>
      <c r="D146" s="3" t="s">
        <v>10</v>
      </c>
      <c r="E146" s="3" t="s">
        <v>11</v>
      </c>
      <c r="F146" s="3" t="s">
        <v>363</v>
      </c>
      <c r="G146" s="3" t="s">
        <v>364</v>
      </c>
      <c r="H146" s="3" t="s">
        <v>361</v>
      </c>
      <c r="I146" s="3" t="s">
        <v>362</v>
      </c>
      <c r="J146" s="3" t="s">
        <v>78</v>
      </c>
      <c r="K146" s="3" t="str">
        <f>"312-766-3503"</f>
        <v>312-766-3503</v>
      </c>
    </row>
    <row r="147" spans="1:11" x14ac:dyDescent="0.35">
      <c r="A147" s="3" t="s">
        <v>462</v>
      </c>
      <c r="B147" s="3" t="s">
        <v>462</v>
      </c>
      <c r="C147" s="3" t="s">
        <v>463</v>
      </c>
      <c r="D147" s="3" t="s">
        <v>18</v>
      </c>
      <c r="E147" s="3" t="s">
        <v>19</v>
      </c>
      <c r="F147" s="3" t="s">
        <v>464</v>
      </c>
      <c r="G147" s="3" t="s">
        <v>466</v>
      </c>
      <c r="H147" s="3" t="s">
        <v>464</v>
      </c>
      <c r="I147" s="3" t="s">
        <v>465</v>
      </c>
      <c r="J147" s="3" t="s">
        <v>87</v>
      </c>
      <c r="K147" s="3" t="str">
        <f>"563-599-4077"</f>
        <v>563-599-4077</v>
      </c>
    </row>
    <row r="148" spans="1:11" x14ac:dyDescent="0.35">
      <c r="A148" s="3" t="s">
        <v>760</v>
      </c>
      <c r="B148" s="3" t="s">
        <v>760</v>
      </c>
      <c r="C148" s="3" t="s">
        <v>761</v>
      </c>
      <c r="D148" s="3" t="s">
        <v>18</v>
      </c>
      <c r="E148" s="3" t="s">
        <v>19</v>
      </c>
      <c r="F148" s="3" t="s">
        <v>464</v>
      </c>
      <c r="G148" s="3" t="s">
        <v>466</v>
      </c>
      <c r="H148" s="3" t="s">
        <v>464</v>
      </c>
      <c r="I148" s="3" t="s">
        <v>465</v>
      </c>
      <c r="J148" s="3" t="s">
        <v>87</v>
      </c>
      <c r="K148" s="3" t="str">
        <f>"563-599-4077"</f>
        <v>563-599-4077</v>
      </c>
    </row>
    <row r="149" spans="1:11" x14ac:dyDescent="0.35">
      <c r="A149" s="3" t="str">
        <f>"01-03"</f>
        <v>01-03</v>
      </c>
      <c r="B149" s="3" t="s">
        <v>126</v>
      </c>
      <c r="C149" s="3" t="s">
        <v>127</v>
      </c>
      <c r="D149" s="3" t="s">
        <v>128</v>
      </c>
      <c r="E149" s="3" t="s">
        <v>129</v>
      </c>
      <c r="F149" s="3" t="s">
        <v>132</v>
      </c>
      <c r="G149" s="3" t="s">
        <v>133</v>
      </c>
      <c r="H149" s="3" t="s">
        <v>130</v>
      </c>
      <c r="I149" s="3" t="s">
        <v>131</v>
      </c>
      <c r="J149" s="3" t="s">
        <v>31</v>
      </c>
      <c r="K149" s="3" t="str">
        <f>"563-382-8436"</f>
        <v>563-382-8436</v>
      </c>
    </row>
    <row r="150" spans="1:11" x14ac:dyDescent="0.35">
      <c r="A150" s="3" t="str">
        <f>"00-24"</f>
        <v>00-24</v>
      </c>
      <c r="B150" s="3" t="s">
        <v>68</v>
      </c>
      <c r="C150" s="3" t="s">
        <v>69</v>
      </c>
      <c r="D150" s="3" t="s">
        <v>70</v>
      </c>
      <c r="E150" s="3" t="s">
        <v>71</v>
      </c>
      <c r="F150" s="3" t="s">
        <v>72</v>
      </c>
      <c r="G150" s="3" t="s">
        <v>62</v>
      </c>
      <c r="H150" s="3" t="s">
        <v>59</v>
      </c>
      <c r="I150" s="3" t="s">
        <v>60</v>
      </c>
      <c r="J150" s="3" t="s">
        <v>44</v>
      </c>
      <c r="K150" s="3" t="str">
        <f>"319-338-7600"</f>
        <v>319-338-7600</v>
      </c>
    </row>
    <row r="151" spans="1:11" x14ac:dyDescent="0.35">
      <c r="A151" s="3" t="str">
        <f>"99-59"</f>
        <v>99-59</v>
      </c>
      <c r="B151" s="3"/>
      <c r="C151" s="3" t="s">
        <v>2030</v>
      </c>
      <c r="D151" s="3" t="s">
        <v>159</v>
      </c>
      <c r="E151" s="3" t="s">
        <v>160</v>
      </c>
      <c r="F151" s="3" t="s">
        <v>2031</v>
      </c>
      <c r="G151" s="3" t="s">
        <v>90</v>
      </c>
      <c r="H151" s="3" t="s">
        <v>89</v>
      </c>
      <c r="I151" s="3" t="s">
        <v>90</v>
      </c>
      <c r="J151" s="3" t="s">
        <v>78</v>
      </c>
      <c r="K151" s="3" t="str">
        <f>"515-246-8016"</f>
        <v>515-246-8016</v>
      </c>
    </row>
    <row r="152" spans="1:11" x14ac:dyDescent="0.35">
      <c r="A152" s="3" t="str">
        <f>"02-04"</f>
        <v>02-04</v>
      </c>
      <c r="B152" s="3"/>
      <c r="C152" s="3" t="s">
        <v>209</v>
      </c>
      <c r="D152" s="3" t="s">
        <v>159</v>
      </c>
      <c r="E152" s="3" t="s">
        <v>160</v>
      </c>
      <c r="F152" s="3" t="s">
        <v>210</v>
      </c>
      <c r="G152" s="3" t="s">
        <v>90</v>
      </c>
      <c r="H152" s="3" t="s">
        <v>89</v>
      </c>
      <c r="I152" s="3" t="s">
        <v>90</v>
      </c>
      <c r="J152" s="3" t="s">
        <v>78</v>
      </c>
      <c r="K152" s="3" t="str">
        <f>"515-246-8016"</f>
        <v>515-246-8016</v>
      </c>
    </row>
    <row r="153" spans="1:11" x14ac:dyDescent="0.35">
      <c r="A153" s="3" t="str">
        <f>"03-01"</f>
        <v>03-01</v>
      </c>
      <c r="B153" s="3"/>
      <c r="C153" s="3" t="s">
        <v>300</v>
      </c>
      <c r="D153" s="3" t="s">
        <v>159</v>
      </c>
      <c r="E153" s="3" t="s">
        <v>160</v>
      </c>
      <c r="F153" s="3" t="s">
        <v>301</v>
      </c>
      <c r="G153" s="3" t="s">
        <v>90</v>
      </c>
      <c r="H153" s="3" t="s">
        <v>89</v>
      </c>
      <c r="I153" s="3" t="s">
        <v>90</v>
      </c>
      <c r="J153" s="3" t="s">
        <v>78</v>
      </c>
      <c r="K153" s="3" t="str">
        <f>"515-246-8016"</f>
        <v>515-246-8016</v>
      </c>
    </row>
    <row r="154" spans="1:11" x14ac:dyDescent="0.35">
      <c r="A154" s="3" t="str">
        <f>"05-03"</f>
        <v>05-03</v>
      </c>
      <c r="B154" s="3"/>
      <c r="C154" s="3" t="s">
        <v>471</v>
      </c>
      <c r="D154" s="3" t="s">
        <v>159</v>
      </c>
      <c r="E154" s="3" t="s">
        <v>160</v>
      </c>
      <c r="F154" s="3" t="s">
        <v>472</v>
      </c>
      <c r="G154" s="3" t="s">
        <v>90</v>
      </c>
      <c r="H154" s="3" t="s">
        <v>89</v>
      </c>
      <c r="I154" s="3" t="s">
        <v>90</v>
      </c>
      <c r="J154" s="3" t="s">
        <v>78</v>
      </c>
      <c r="K154" s="3" t="str">
        <f>"515-246-8016"</f>
        <v>515-246-8016</v>
      </c>
    </row>
    <row r="155" spans="1:11" x14ac:dyDescent="0.35">
      <c r="A155" s="3" t="str">
        <f>"07-07"</f>
        <v>07-07</v>
      </c>
      <c r="B155" s="3"/>
      <c r="C155" s="3" t="s">
        <v>668</v>
      </c>
      <c r="D155" s="3" t="s">
        <v>159</v>
      </c>
      <c r="E155" s="3" t="s">
        <v>160</v>
      </c>
      <c r="F155" s="3" t="s">
        <v>89</v>
      </c>
      <c r="G155" s="3" t="s">
        <v>90</v>
      </c>
      <c r="H155" s="3" t="s">
        <v>89</v>
      </c>
      <c r="I155" s="3" t="s">
        <v>90</v>
      </c>
      <c r="J155" s="3" t="s">
        <v>78</v>
      </c>
      <c r="K155" s="3" t="str">
        <f>"515-246-8016"</f>
        <v>515-246-8016</v>
      </c>
    </row>
    <row r="156" spans="1:11" x14ac:dyDescent="0.35">
      <c r="A156" s="3" t="str">
        <f>"08-04"</f>
        <v>08-04</v>
      </c>
      <c r="B156" s="3"/>
      <c r="C156" s="3" t="s">
        <v>766</v>
      </c>
      <c r="D156" s="3" t="s">
        <v>159</v>
      </c>
      <c r="E156" s="3" t="s">
        <v>160</v>
      </c>
      <c r="F156" s="3" t="s">
        <v>767</v>
      </c>
      <c r="G156" s="3" t="s">
        <v>90</v>
      </c>
      <c r="H156" s="3" t="s">
        <v>89</v>
      </c>
      <c r="I156" s="3" t="s">
        <v>90</v>
      </c>
      <c r="J156" s="3" t="s">
        <v>78</v>
      </c>
      <c r="K156" s="3" t="str">
        <f>"515-246-8016"</f>
        <v>515-246-8016</v>
      </c>
    </row>
    <row r="157" spans="1:11" x14ac:dyDescent="0.35">
      <c r="A157" s="3" t="str">
        <f>"11-11-9"</f>
        <v>11-11-9</v>
      </c>
      <c r="B157" s="3" t="s">
        <v>1107</v>
      </c>
      <c r="C157" s="3" t="s">
        <v>1108</v>
      </c>
      <c r="D157" s="3" t="s">
        <v>159</v>
      </c>
      <c r="E157" s="3" t="s">
        <v>160</v>
      </c>
      <c r="F157" s="3" t="s">
        <v>1109</v>
      </c>
      <c r="G157" s="3" t="s">
        <v>240</v>
      </c>
      <c r="H157" s="3" t="s">
        <v>239</v>
      </c>
      <c r="I157" s="3" t="s">
        <v>240</v>
      </c>
      <c r="J157" s="3" t="s">
        <v>87</v>
      </c>
      <c r="K157" s="3" t="str">
        <f>"515-314-5481"</f>
        <v>515-314-5481</v>
      </c>
    </row>
    <row r="158" spans="1:11" x14ac:dyDescent="0.35">
      <c r="A158" s="3" t="str">
        <f>"10-10-245"</f>
        <v>10-10-245</v>
      </c>
      <c r="B158" s="3"/>
      <c r="C158" s="3" t="s">
        <v>973</v>
      </c>
      <c r="D158" s="3" t="s">
        <v>18</v>
      </c>
      <c r="E158" s="3" t="s">
        <v>19</v>
      </c>
      <c r="F158" s="3" t="s">
        <v>974</v>
      </c>
      <c r="G158" s="3" t="s">
        <v>975</v>
      </c>
      <c r="H158" s="3" t="s">
        <v>20</v>
      </c>
      <c r="I158" s="3" t="s">
        <v>21</v>
      </c>
      <c r="J158" s="3" t="s">
        <v>16</v>
      </c>
      <c r="K158" s="3" t="str">
        <f>"773-507-6856"</f>
        <v>773-507-6856</v>
      </c>
    </row>
    <row r="159" spans="1:11" x14ac:dyDescent="0.35">
      <c r="A159" s="3" t="str">
        <f>"16-24"</f>
        <v>16-24</v>
      </c>
      <c r="B159" s="3"/>
      <c r="C159" s="3" t="s">
        <v>1385</v>
      </c>
      <c r="D159" s="3" t="s">
        <v>57</v>
      </c>
      <c r="E159" s="3" t="s">
        <v>58</v>
      </c>
      <c r="F159" s="3" t="s">
        <v>1386</v>
      </c>
      <c r="G159" s="3" t="s">
        <v>975</v>
      </c>
      <c r="H159" s="3" t="s">
        <v>20</v>
      </c>
      <c r="I159" s="3" t="s">
        <v>21</v>
      </c>
      <c r="J159" s="3" t="s">
        <v>16</v>
      </c>
      <c r="K159" s="3" t="str">
        <f>"773-507-6856"</f>
        <v>773-507-6856</v>
      </c>
    </row>
    <row r="160" spans="1:11" x14ac:dyDescent="0.35">
      <c r="A160" s="3" t="str">
        <f>"90-03"</f>
        <v>90-03</v>
      </c>
      <c r="B160" s="3"/>
      <c r="C160" s="3" t="s">
        <v>1463</v>
      </c>
      <c r="D160" s="3" t="s">
        <v>1464</v>
      </c>
      <c r="E160" s="3" t="s">
        <v>111</v>
      </c>
      <c r="F160" s="3" t="s">
        <v>1467</v>
      </c>
      <c r="G160" s="3" t="s">
        <v>1468</v>
      </c>
      <c r="H160" s="3" t="s">
        <v>1465</v>
      </c>
      <c r="I160" s="3" t="s">
        <v>1466</v>
      </c>
      <c r="J160" s="3" t="s">
        <v>87</v>
      </c>
      <c r="K160" s="3" t="str">
        <f>"319-849-1638"</f>
        <v>319-849-1638</v>
      </c>
    </row>
    <row r="161" spans="1:11" x14ac:dyDescent="0.35">
      <c r="A161" s="3" t="str">
        <f>"97-15"</f>
        <v>97-15</v>
      </c>
      <c r="B161" s="3" t="s">
        <v>1834</v>
      </c>
      <c r="C161" s="3" t="s">
        <v>1835</v>
      </c>
      <c r="D161" s="3" t="s">
        <v>399</v>
      </c>
      <c r="E161" s="3" t="s">
        <v>400</v>
      </c>
      <c r="F161" s="3" t="s">
        <v>1836</v>
      </c>
      <c r="G161" s="3" t="s">
        <v>495</v>
      </c>
      <c r="H161" s="3" t="s">
        <v>59</v>
      </c>
      <c r="I161" s="3" t="s">
        <v>60</v>
      </c>
      <c r="J161" s="3" t="s">
        <v>44</v>
      </c>
      <c r="K161" s="3" t="str">
        <f>"563-263-6900"</f>
        <v>563-263-6900</v>
      </c>
    </row>
    <row r="162" spans="1:11" x14ac:dyDescent="0.35">
      <c r="A162" s="3" t="str">
        <f>"06-24"</f>
        <v>06-24</v>
      </c>
      <c r="B162" s="3"/>
      <c r="C162" s="3" t="s">
        <v>598</v>
      </c>
      <c r="D162" s="3" t="s">
        <v>599</v>
      </c>
      <c r="E162" s="3" t="s">
        <v>600</v>
      </c>
      <c r="F162" s="3" t="s">
        <v>603</v>
      </c>
      <c r="G162" s="3" t="s">
        <v>604</v>
      </c>
      <c r="H162" s="3" t="s">
        <v>601</v>
      </c>
      <c r="I162" s="3" t="s">
        <v>602</v>
      </c>
      <c r="J162" s="3" t="s">
        <v>87</v>
      </c>
      <c r="K162" s="3" t="str">
        <f>"515-224-4442"</f>
        <v>515-224-4442</v>
      </c>
    </row>
    <row r="163" spans="1:11" x14ac:dyDescent="0.35">
      <c r="A163" s="3" t="str">
        <f>"98-78"</f>
        <v>98-78</v>
      </c>
      <c r="B163" s="3" t="s">
        <v>1986</v>
      </c>
      <c r="C163" s="3" t="s">
        <v>1987</v>
      </c>
      <c r="D163" s="3" t="s">
        <v>534</v>
      </c>
      <c r="E163" s="3" t="s">
        <v>71</v>
      </c>
      <c r="F163" s="3" t="s">
        <v>1988</v>
      </c>
      <c r="G163" s="3" t="s">
        <v>62</v>
      </c>
      <c r="H163" s="3" t="s">
        <v>59</v>
      </c>
      <c r="I163" s="3" t="s">
        <v>60</v>
      </c>
      <c r="J163" s="3" t="s">
        <v>44</v>
      </c>
      <c r="K163" s="3" t="str">
        <f>"319-338-7600"</f>
        <v>319-338-7600</v>
      </c>
    </row>
    <row r="164" spans="1:11" x14ac:dyDescent="0.35">
      <c r="A164" s="3" t="str">
        <f>"98-30"</f>
        <v>98-30</v>
      </c>
      <c r="B164" s="3" t="s">
        <v>1934</v>
      </c>
      <c r="C164" s="3" t="s">
        <v>1935</v>
      </c>
      <c r="D164" s="3" t="s">
        <v>534</v>
      </c>
      <c r="E164" s="3" t="s">
        <v>71</v>
      </c>
      <c r="F164" s="3" t="s">
        <v>1936</v>
      </c>
      <c r="G164" s="3" t="s">
        <v>62</v>
      </c>
      <c r="H164" s="3" t="s">
        <v>59</v>
      </c>
      <c r="I164" s="3" t="s">
        <v>60</v>
      </c>
      <c r="J164" s="3" t="s">
        <v>44</v>
      </c>
      <c r="K164" s="3" t="str">
        <f>"319-338-7600"</f>
        <v>319-338-7600</v>
      </c>
    </row>
    <row r="165" spans="1:11" x14ac:dyDescent="0.35">
      <c r="A165" s="3" t="str">
        <f>"93-35"</f>
        <v>93-35</v>
      </c>
      <c r="B165" s="3"/>
      <c r="C165" s="3" t="s">
        <v>1686</v>
      </c>
      <c r="D165" s="3" t="s">
        <v>1687</v>
      </c>
      <c r="E165" s="3" t="s">
        <v>1588</v>
      </c>
      <c r="F165" s="3" t="s">
        <v>1688</v>
      </c>
      <c r="G165" s="3" t="s">
        <v>62</v>
      </c>
      <c r="H165" s="3" t="s">
        <v>59</v>
      </c>
      <c r="I165" s="3" t="s">
        <v>60</v>
      </c>
      <c r="J165" s="3" t="s">
        <v>44</v>
      </c>
      <c r="K165" s="3" t="str">
        <f>"319-338-7600"</f>
        <v>319-338-7600</v>
      </c>
    </row>
    <row r="166" spans="1:11" x14ac:dyDescent="0.35">
      <c r="A166" s="3" t="str">
        <f>"10-10-10"</f>
        <v>10-10-10</v>
      </c>
      <c r="B166" s="3" t="str">
        <f>"93-400-731-02"</f>
        <v>93-400-731-02</v>
      </c>
      <c r="C166" s="3" t="s">
        <v>919</v>
      </c>
      <c r="D166" s="3" t="s">
        <v>159</v>
      </c>
      <c r="E166" s="3" t="s">
        <v>160</v>
      </c>
      <c r="F166" s="3" t="s">
        <v>920</v>
      </c>
      <c r="G166" s="3" t="s">
        <v>857</v>
      </c>
      <c r="H166" s="3" t="s">
        <v>856</v>
      </c>
      <c r="I166" s="3" t="s">
        <v>857</v>
      </c>
      <c r="J166" s="3" t="s">
        <v>78</v>
      </c>
      <c r="K166" s="3" t="str">
        <f>"651-291-1750"</f>
        <v>651-291-1750</v>
      </c>
    </row>
    <row r="167" spans="1:11" x14ac:dyDescent="0.35">
      <c r="A167" s="3" t="str">
        <f>"04-30"</f>
        <v>04-30</v>
      </c>
      <c r="B167" s="3" t="s">
        <v>408</v>
      </c>
      <c r="C167" s="3" t="s">
        <v>409</v>
      </c>
      <c r="D167" s="3" t="s">
        <v>159</v>
      </c>
      <c r="E167" s="3" t="s">
        <v>160</v>
      </c>
      <c r="F167" s="3" t="s">
        <v>410</v>
      </c>
      <c r="G167" s="3" t="s">
        <v>240</v>
      </c>
      <c r="H167" s="3" t="s">
        <v>239</v>
      </c>
      <c r="I167" s="3" t="s">
        <v>240</v>
      </c>
      <c r="J167" s="3" t="s">
        <v>87</v>
      </c>
      <c r="K167" s="3" t="str">
        <f>"515-314-5481"</f>
        <v>515-314-5481</v>
      </c>
    </row>
    <row r="168" spans="1:11" x14ac:dyDescent="0.35">
      <c r="A168" s="3" t="str">
        <f>"90-63"</f>
        <v>90-63</v>
      </c>
      <c r="B168" s="3"/>
      <c r="C168" s="3" t="s">
        <v>1540</v>
      </c>
      <c r="D168" s="3" t="s">
        <v>1541</v>
      </c>
      <c r="E168" s="3" t="s">
        <v>1220</v>
      </c>
      <c r="F168" s="3" t="s">
        <v>1542</v>
      </c>
      <c r="G168" s="3" t="s">
        <v>1543</v>
      </c>
      <c r="H168" s="3" t="s">
        <v>1476</v>
      </c>
      <c r="I168" s="3" t="s">
        <v>1477</v>
      </c>
      <c r="J168" s="3" t="s">
        <v>78</v>
      </c>
      <c r="K168" s="3" t="str">
        <f>"319-830-4591"</f>
        <v>319-830-4591</v>
      </c>
    </row>
    <row r="169" spans="1:11" x14ac:dyDescent="0.35">
      <c r="A169" s="3" t="str">
        <f>"93-01"</f>
        <v>93-01</v>
      </c>
      <c r="B169" s="3"/>
      <c r="C169" s="3" t="s">
        <v>1639</v>
      </c>
      <c r="D169" s="3" t="s">
        <v>1640</v>
      </c>
      <c r="E169" s="3" t="s">
        <v>840</v>
      </c>
      <c r="F169" s="3" t="s">
        <v>1643</v>
      </c>
      <c r="G169" s="3" t="s">
        <v>1644</v>
      </c>
      <c r="H169" s="3" t="s">
        <v>1641</v>
      </c>
      <c r="I169" s="3" t="s">
        <v>1642</v>
      </c>
      <c r="J169" s="3" t="s">
        <v>78</v>
      </c>
      <c r="K169" s="3" t="str">
        <f>"507-345-1290"</f>
        <v>507-345-1290</v>
      </c>
    </row>
    <row r="170" spans="1:11" x14ac:dyDescent="0.35">
      <c r="A170" s="3" t="str">
        <f>"09-0903"</f>
        <v>09-0903</v>
      </c>
      <c r="B170" s="3"/>
      <c r="C170" s="3" t="s">
        <v>844</v>
      </c>
      <c r="D170" s="3" t="s">
        <v>284</v>
      </c>
      <c r="E170" s="3" t="s">
        <v>285</v>
      </c>
      <c r="F170" s="3" t="s">
        <v>845</v>
      </c>
      <c r="G170" s="3" t="s">
        <v>42</v>
      </c>
      <c r="H170" s="3" t="s">
        <v>39</v>
      </c>
      <c r="I170" s="3" t="s">
        <v>40</v>
      </c>
      <c r="J170" s="3" t="s">
        <v>44</v>
      </c>
      <c r="K170" s="3" t="str">
        <f>"515-262-5965"</f>
        <v>515-262-5965</v>
      </c>
    </row>
    <row r="171" spans="1:11" x14ac:dyDescent="0.35">
      <c r="A171" s="3" t="str">
        <f>"92-42"</f>
        <v>92-42</v>
      </c>
      <c r="B171" s="3"/>
      <c r="C171" s="3" t="s">
        <v>1637</v>
      </c>
      <c r="D171" s="3" t="s">
        <v>110</v>
      </c>
      <c r="E171" s="3" t="s">
        <v>111</v>
      </c>
      <c r="F171" s="3" t="s">
        <v>1638</v>
      </c>
      <c r="G171" s="3" t="s">
        <v>282</v>
      </c>
      <c r="H171" s="3" t="s">
        <v>266</v>
      </c>
      <c r="I171" s="3" t="s">
        <v>280</v>
      </c>
      <c r="J171" s="3" t="s">
        <v>78</v>
      </c>
      <c r="K171" s="3" t="str">
        <f>"402-952-4599"</f>
        <v>402-952-4599</v>
      </c>
    </row>
    <row r="172" spans="1:11" x14ac:dyDescent="0.35">
      <c r="A172" s="3" t="str">
        <f>"96-70"</f>
        <v>96-70</v>
      </c>
      <c r="B172" s="3" t="s">
        <v>1822</v>
      </c>
      <c r="C172" s="3" t="s">
        <v>1823</v>
      </c>
      <c r="D172" s="3" t="s">
        <v>10</v>
      </c>
      <c r="E172" s="3" t="s">
        <v>11</v>
      </c>
      <c r="F172" s="3" t="s">
        <v>1824</v>
      </c>
      <c r="G172" s="3" t="s">
        <v>1825</v>
      </c>
      <c r="H172" s="3" t="s">
        <v>202</v>
      </c>
      <c r="I172" s="3" t="s">
        <v>203</v>
      </c>
      <c r="J172" s="3" t="s">
        <v>78</v>
      </c>
      <c r="K172" s="3" t="str">
        <f>"563-326-1330"</f>
        <v>563-326-1330</v>
      </c>
    </row>
    <row r="173" spans="1:11" x14ac:dyDescent="0.35">
      <c r="A173" s="3" t="str">
        <f>"18-32"</f>
        <v>18-32</v>
      </c>
      <c r="B173" s="3"/>
      <c r="C173" s="3" t="s">
        <v>1451</v>
      </c>
      <c r="D173" s="3" t="s">
        <v>188</v>
      </c>
      <c r="E173" s="3" t="s">
        <v>82</v>
      </c>
      <c r="F173" s="3" t="s">
        <v>1454</v>
      </c>
      <c r="G173" s="3" t="s">
        <v>1455</v>
      </c>
      <c r="H173" s="3" t="s">
        <v>1452</v>
      </c>
      <c r="I173" s="3" t="s">
        <v>1453</v>
      </c>
      <c r="J173" s="3" t="s">
        <v>16</v>
      </c>
      <c r="K173" s="3" t="str">
        <f>"317-886-7923"</f>
        <v>317-886-7923</v>
      </c>
    </row>
    <row r="174" spans="1:11" x14ac:dyDescent="0.35">
      <c r="A174" s="3" t="str">
        <f>"12-12-33"</f>
        <v>12-12-33</v>
      </c>
      <c r="B174" s="3" t="s">
        <v>1145</v>
      </c>
      <c r="C174" s="3" t="s">
        <v>1146</v>
      </c>
      <c r="D174" s="3" t="s">
        <v>159</v>
      </c>
      <c r="E174" s="3" t="s">
        <v>160</v>
      </c>
      <c r="F174" s="3" t="s">
        <v>1147</v>
      </c>
      <c r="G174" s="3" t="s">
        <v>998</v>
      </c>
      <c r="H174" s="3" t="s">
        <v>704</v>
      </c>
      <c r="I174" s="3" t="s">
        <v>705</v>
      </c>
      <c r="J174" s="3" t="s">
        <v>31</v>
      </c>
      <c r="K174" s="3" t="str">
        <f>"816-561-1033"</f>
        <v>816-561-1033</v>
      </c>
    </row>
    <row r="175" spans="1:11" x14ac:dyDescent="0.35">
      <c r="A175" s="3" t="str">
        <f>"04-44"</f>
        <v>04-44</v>
      </c>
      <c r="B175" s="3"/>
      <c r="C175" s="3" t="s">
        <v>433</v>
      </c>
      <c r="D175" s="3" t="s">
        <v>346</v>
      </c>
      <c r="E175" s="3" t="s">
        <v>347</v>
      </c>
      <c r="F175" s="3" t="s">
        <v>434</v>
      </c>
      <c r="G175" s="3" t="s">
        <v>247</v>
      </c>
      <c r="H175" s="3" t="s">
        <v>246</v>
      </c>
      <c r="I175" s="3" t="s">
        <v>247</v>
      </c>
      <c r="J175" s="3" t="s">
        <v>16</v>
      </c>
      <c r="K175" s="3" t="str">
        <f>"262-790-4560"</f>
        <v>262-790-4560</v>
      </c>
    </row>
    <row r="176" spans="1:11" x14ac:dyDescent="0.35">
      <c r="A176" s="3" t="str">
        <f>"02-11"</f>
        <v>02-11</v>
      </c>
      <c r="B176" s="3"/>
      <c r="C176" s="3" t="s">
        <v>219</v>
      </c>
      <c r="D176" s="3" t="s">
        <v>57</v>
      </c>
      <c r="E176" s="3" t="s">
        <v>58</v>
      </c>
      <c r="F176" s="3" t="s">
        <v>220</v>
      </c>
      <c r="G176" s="3" t="s">
        <v>62</v>
      </c>
      <c r="H176" s="3" t="s">
        <v>59</v>
      </c>
      <c r="I176" s="3" t="s">
        <v>60</v>
      </c>
      <c r="J176" s="3" t="s">
        <v>44</v>
      </c>
      <c r="K176" s="3" t="str">
        <f>"319-338-7600"</f>
        <v>319-338-7600</v>
      </c>
    </row>
    <row r="177" spans="1:11" x14ac:dyDescent="0.35">
      <c r="A177" s="3" t="str">
        <f>"17-29"</f>
        <v>17-29</v>
      </c>
      <c r="B177" s="3"/>
      <c r="C177" s="3" t="s">
        <v>1434</v>
      </c>
      <c r="D177" s="3" t="s">
        <v>825</v>
      </c>
      <c r="E177" s="3" t="s">
        <v>826</v>
      </c>
      <c r="F177" s="3" t="s">
        <v>1435</v>
      </c>
      <c r="G177" s="3" t="s">
        <v>108</v>
      </c>
      <c r="H177" s="3" t="s">
        <v>105</v>
      </c>
      <c r="I177" s="3" t="s">
        <v>106</v>
      </c>
      <c r="J177" s="3" t="s">
        <v>87</v>
      </c>
      <c r="K177" s="3" t="str">
        <f>"712-240-2188"</f>
        <v>712-240-2188</v>
      </c>
    </row>
    <row r="178" spans="1:11" x14ac:dyDescent="0.35">
      <c r="A178" s="3" t="str">
        <f>"94-59"</f>
        <v>94-59</v>
      </c>
      <c r="B178" s="3"/>
      <c r="C178" s="3" t="s">
        <v>1730</v>
      </c>
      <c r="D178" s="3" t="s">
        <v>136</v>
      </c>
      <c r="E178" s="3" t="s">
        <v>137</v>
      </c>
      <c r="F178" s="3" t="s">
        <v>222</v>
      </c>
      <c r="G178" s="3" t="s">
        <v>223</v>
      </c>
      <c r="H178" s="3" t="s">
        <v>222</v>
      </c>
      <c r="I178" s="3" t="s">
        <v>223</v>
      </c>
      <c r="J178" s="3" t="s">
        <v>31</v>
      </c>
      <c r="K178" s="3" t="str">
        <f>"515-573-7751"</f>
        <v>515-573-7751</v>
      </c>
    </row>
    <row r="179" spans="1:11" x14ac:dyDescent="0.35">
      <c r="A179" s="3" t="str">
        <f>"96-17"</f>
        <v>96-17</v>
      </c>
      <c r="B179" s="3"/>
      <c r="C179" s="3" t="s">
        <v>1791</v>
      </c>
      <c r="D179" s="3" t="s">
        <v>136</v>
      </c>
      <c r="E179" s="3" t="s">
        <v>137</v>
      </c>
      <c r="F179" s="3" t="s">
        <v>222</v>
      </c>
      <c r="G179" s="3" t="s">
        <v>223</v>
      </c>
      <c r="H179" s="3" t="s">
        <v>222</v>
      </c>
      <c r="I179" s="3" t="s">
        <v>223</v>
      </c>
      <c r="J179" s="3" t="s">
        <v>31</v>
      </c>
      <c r="K179" s="3" t="str">
        <f>"515-573-7751"</f>
        <v>515-573-7751</v>
      </c>
    </row>
    <row r="180" spans="1:11" x14ac:dyDescent="0.35">
      <c r="A180" s="3" t="str">
        <f>"03-23"</f>
        <v>03-23</v>
      </c>
      <c r="B180" s="3" t="s">
        <v>326</v>
      </c>
      <c r="C180" s="3" t="s">
        <v>327</v>
      </c>
      <c r="D180" s="3" t="s">
        <v>328</v>
      </c>
      <c r="E180" s="3" t="s">
        <v>19</v>
      </c>
      <c r="F180" s="3" t="s">
        <v>331</v>
      </c>
      <c r="G180" s="3" t="s">
        <v>332</v>
      </c>
      <c r="H180" s="3" t="s">
        <v>329</v>
      </c>
      <c r="I180" s="3" t="s">
        <v>330</v>
      </c>
      <c r="J180" s="3" t="s">
        <v>78</v>
      </c>
      <c r="K180" s="3" t="str">
        <f>"563-556-4166"</f>
        <v>563-556-4166</v>
      </c>
    </row>
    <row r="181" spans="1:11" x14ac:dyDescent="0.35">
      <c r="A181" s="3" t="str">
        <f>"14-14-11"</f>
        <v>14-14-11</v>
      </c>
      <c r="B181" s="3"/>
      <c r="C181" s="3" t="s">
        <v>1238</v>
      </c>
      <c r="D181" s="3" t="s">
        <v>498</v>
      </c>
      <c r="E181" s="3" t="s">
        <v>499</v>
      </c>
      <c r="F181" s="3" t="s">
        <v>1239</v>
      </c>
      <c r="G181" s="3" t="s">
        <v>108</v>
      </c>
      <c r="H181" s="3" t="s">
        <v>105</v>
      </c>
      <c r="I181" s="3" t="s">
        <v>106</v>
      </c>
      <c r="J181" s="3" t="s">
        <v>87</v>
      </c>
      <c r="K181" s="3" t="str">
        <f>"712-240-2188"</f>
        <v>712-240-2188</v>
      </c>
    </row>
    <row r="182" spans="1:11" x14ac:dyDescent="0.35">
      <c r="A182" s="3" t="str">
        <f>"14-14-12"</f>
        <v>14-14-12</v>
      </c>
      <c r="B182" s="3"/>
      <c r="C182" s="3" t="s">
        <v>1240</v>
      </c>
      <c r="D182" s="3" t="s">
        <v>498</v>
      </c>
      <c r="E182" s="3" t="s">
        <v>499</v>
      </c>
      <c r="F182" s="3" t="s">
        <v>1241</v>
      </c>
      <c r="G182" s="3" t="s">
        <v>108</v>
      </c>
      <c r="H182" s="3" t="s">
        <v>105</v>
      </c>
      <c r="I182" s="3" t="s">
        <v>106</v>
      </c>
      <c r="J182" s="3" t="s">
        <v>87</v>
      </c>
      <c r="K182" s="3" t="str">
        <f>"712-240-2188"</f>
        <v>712-240-2188</v>
      </c>
    </row>
    <row r="183" spans="1:11" x14ac:dyDescent="0.35">
      <c r="A183" s="3" t="str">
        <f>"07-32"</f>
        <v>07-32</v>
      </c>
      <c r="B183" s="3"/>
      <c r="C183" s="3" t="s">
        <v>703</v>
      </c>
      <c r="D183" s="3" t="s">
        <v>10</v>
      </c>
      <c r="E183" s="3" t="s">
        <v>11</v>
      </c>
      <c r="F183" s="3" t="s">
        <v>706</v>
      </c>
      <c r="G183" s="3" t="s">
        <v>707</v>
      </c>
      <c r="H183" s="3" t="s">
        <v>704</v>
      </c>
      <c r="I183" s="3" t="s">
        <v>705</v>
      </c>
      <c r="J183" s="3" t="s">
        <v>31</v>
      </c>
      <c r="K183" s="3" t="str">
        <f>"563-340-3769"</f>
        <v>563-340-3769</v>
      </c>
    </row>
    <row r="184" spans="1:11" x14ac:dyDescent="0.35">
      <c r="A184" s="3" t="s">
        <v>1229</v>
      </c>
      <c r="B184" s="3" t="s">
        <v>1229</v>
      </c>
      <c r="C184" s="3" t="s">
        <v>1230</v>
      </c>
      <c r="D184" s="3" t="s">
        <v>10</v>
      </c>
      <c r="E184" s="3" t="s">
        <v>11</v>
      </c>
      <c r="F184" s="3" t="s">
        <v>706</v>
      </c>
      <c r="G184" s="3" t="s">
        <v>707</v>
      </c>
      <c r="H184" s="3" t="s">
        <v>704</v>
      </c>
      <c r="I184" s="3" t="s">
        <v>705</v>
      </c>
      <c r="J184" s="3" t="s">
        <v>31</v>
      </c>
      <c r="K184" s="3" t="str">
        <f>"563-340-3769"</f>
        <v>563-340-3769</v>
      </c>
    </row>
    <row r="185" spans="1:11" x14ac:dyDescent="0.35">
      <c r="A185" s="3" t="str">
        <f>"00-42"</f>
        <v>00-42</v>
      </c>
      <c r="B185" s="3" t="s">
        <v>101</v>
      </c>
      <c r="C185" s="3" t="s">
        <v>102</v>
      </c>
      <c r="D185" s="3" t="s">
        <v>103</v>
      </c>
      <c r="E185" s="3" t="s">
        <v>104</v>
      </c>
      <c r="F185" s="3" t="s">
        <v>107</v>
      </c>
      <c r="G185" s="3" t="s">
        <v>108</v>
      </c>
      <c r="H185" s="3" t="s">
        <v>105</v>
      </c>
      <c r="I185" s="3" t="s">
        <v>106</v>
      </c>
      <c r="J185" s="3" t="s">
        <v>87</v>
      </c>
      <c r="K185" s="3" t="str">
        <f>"712-240-2188"</f>
        <v>712-240-2188</v>
      </c>
    </row>
    <row r="186" spans="1:11" x14ac:dyDescent="0.35">
      <c r="A186" s="3" t="str">
        <f>"10-10-286"</f>
        <v>10-10-286</v>
      </c>
      <c r="B186" s="3"/>
      <c r="C186" s="3" t="s">
        <v>1016</v>
      </c>
      <c r="D186" s="3" t="s">
        <v>1017</v>
      </c>
      <c r="E186" s="3" t="s">
        <v>1018</v>
      </c>
      <c r="F186" s="3" t="s">
        <v>1021</v>
      </c>
      <c r="G186" s="3" t="s">
        <v>1022</v>
      </c>
      <c r="H186" s="3" t="s">
        <v>1019</v>
      </c>
      <c r="I186" s="3" t="s">
        <v>1020</v>
      </c>
      <c r="J186" s="3" t="s">
        <v>16</v>
      </c>
      <c r="K186" s="3" t="str">
        <f>"515-283-0023"</f>
        <v>515-283-0023</v>
      </c>
    </row>
    <row r="187" spans="1:11" x14ac:dyDescent="0.35">
      <c r="A187" s="3" t="str">
        <f>"97-68"</f>
        <v>97-68</v>
      </c>
      <c r="B187" s="3"/>
      <c r="C187" s="3" t="s">
        <v>1885</v>
      </c>
      <c r="D187" s="3" t="s">
        <v>25</v>
      </c>
      <c r="E187" s="3" t="s">
        <v>26</v>
      </c>
      <c r="F187" s="3" t="s">
        <v>1886</v>
      </c>
      <c r="G187" s="3" t="s">
        <v>282</v>
      </c>
      <c r="H187" s="3" t="s">
        <v>266</v>
      </c>
      <c r="I187" s="3" t="s">
        <v>280</v>
      </c>
      <c r="J187" s="3" t="s">
        <v>78</v>
      </c>
      <c r="K187" s="3" t="str">
        <f>"402-952-4599"</f>
        <v>402-952-4599</v>
      </c>
    </row>
    <row r="188" spans="1:11" x14ac:dyDescent="0.35">
      <c r="A188" s="3" t="str">
        <f>"17-25"</f>
        <v>17-25</v>
      </c>
      <c r="B188" s="3"/>
      <c r="C188" s="3" t="s">
        <v>1427</v>
      </c>
      <c r="D188" s="3" t="s">
        <v>18</v>
      </c>
      <c r="E188" s="3" t="s">
        <v>19</v>
      </c>
      <c r="F188" s="3" t="s">
        <v>1429</v>
      </c>
      <c r="G188" s="3" t="s">
        <v>1430</v>
      </c>
      <c r="H188" s="3" t="s">
        <v>1319</v>
      </c>
      <c r="I188" s="3" t="s">
        <v>1428</v>
      </c>
      <c r="J188" s="3" t="s">
        <v>87</v>
      </c>
      <c r="K188" s="3" t="str">
        <f>"847-849-5305"</f>
        <v>847-849-5305</v>
      </c>
    </row>
    <row r="189" spans="1:11" x14ac:dyDescent="0.35">
      <c r="A189" s="3" t="str">
        <f>"11-11-05"</f>
        <v>11-11-05</v>
      </c>
      <c r="B189" s="3"/>
      <c r="C189" s="3" t="s">
        <v>1057</v>
      </c>
      <c r="D189" s="3" t="s">
        <v>1058</v>
      </c>
      <c r="E189" s="3" t="s">
        <v>160</v>
      </c>
      <c r="F189" s="3" t="s">
        <v>1059</v>
      </c>
      <c r="G189" s="3" t="s">
        <v>712</v>
      </c>
      <c r="H189" s="3" t="s">
        <v>709</v>
      </c>
      <c r="I189" s="3" t="s">
        <v>710</v>
      </c>
      <c r="J189" s="3" t="s">
        <v>16</v>
      </c>
      <c r="K189" s="3" t="str">
        <f>"317-587-0320"</f>
        <v>317-587-0320</v>
      </c>
    </row>
    <row r="190" spans="1:11" x14ac:dyDescent="0.35">
      <c r="A190" s="3" t="str">
        <f>"11-11-21"</f>
        <v>11-11-21</v>
      </c>
      <c r="B190" s="3"/>
      <c r="C190" s="3" t="s">
        <v>1065</v>
      </c>
      <c r="D190" s="3" t="s">
        <v>159</v>
      </c>
      <c r="E190" s="3" t="s">
        <v>160</v>
      </c>
      <c r="F190" s="3" t="s">
        <v>161</v>
      </c>
      <c r="G190" s="3" t="s">
        <v>162</v>
      </c>
      <c r="H190" s="3" t="s">
        <v>161</v>
      </c>
      <c r="I190" s="3" t="s">
        <v>162</v>
      </c>
      <c r="J190" s="3" t="s">
        <v>31</v>
      </c>
      <c r="K190" s="3" t="str">
        <f>"515-244-8308"</f>
        <v>515-244-8308</v>
      </c>
    </row>
    <row r="191" spans="1:11" x14ac:dyDescent="0.35">
      <c r="A191" s="3" t="str">
        <f>"98-72"</f>
        <v>98-72</v>
      </c>
      <c r="B191" s="3" t="s">
        <v>1966</v>
      </c>
      <c r="C191" s="3" t="s">
        <v>1967</v>
      </c>
      <c r="D191" s="3" t="s">
        <v>949</v>
      </c>
      <c r="E191" s="3" t="s">
        <v>950</v>
      </c>
      <c r="F191" s="3" t="s">
        <v>1968</v>
      </c>
      <c r="G191" s="3" t="s">
        <v>77</v>
      </c>
      <c r="H191" s="3" t="s">
        <v>74</v>
      </c>
      <c r="I191" s="3" t="s">
        <v>75</v>
      </c>
      <c r="J191" s="3" t="s">
        <v>78</v>
      </c>
      <c r="K191" s="3" t="str">
        <f>"402-488-1666"</f>
        <v>402-488-1666</v>
      </c>
    </row>
    <row r="192" spans="1:11" x14ac:dyDescent="0.35">
      <c r="A192" s="3" t="str">
        <f>"15-15-25"</f>
        <v>15-15-25</v>
      </c>
      <c r="B192" s="3"/>
      <c r="C192" s="3" t="s">
        <v>1340</v>
      </c>
      <c r="D192" s="3" t="s">
        <v>159</v>
      </c>
      <c r="E192" s="3" t="s">
        <v>160</v>
      </c>
      <c r="F192" s="3" t="s">
        <v>1342</v>
      </c>
      <c r="G192" s="3" t="s">
        <v>1343</v>
      </c>
      <c r="H192" s="3" t="s">
        <v>439</v>
      </c>
      <c r="I192" s="3" t="s">
        <v>1341</v>
      </c>
      <c r="J192" s="3" t="s">
        <v>87</v>
      </c>
      <c r="K192" s="3" t="str">
        <f>"949-236-8113"</f>
        <v>949-236-8113</v>
      </c>
    </row>
    <row r="193" spans="1:11" x14ac:dyDescent="0.35">
      <c r="A193" s="3" t="str">
        <f>"10-10-22"</f>
        <v>10-10-22</v>
      </c>
      <c r="B193" s="3" t="s">
        <v>937</v>
      </c>
      <c r="C193" s="3" t="s">
        <v>938</v>
      </c>
      <c r="D193" s="3" t="s">
        <v>159</v>
      </c>
      <c r="E193" s="3" t="s">
        <v>160</v>
      </c>
      <c r="F193" s="3" t="s">
        <v>939</v>
      </c>
      <c r="G193" s="3" t="s">
        <v>940</v>
      </c>
      <c r="H193" s="3" t="s">
        <v>59</v>
      </c>
      <c r="I193" s="3" t="s">
        <v>60</v>
      </c>
      <c r="J193" s="3" t="s">
        <v>44</v>
      </c>
      <c r="K193" s="3" t="str">
        <f>"515-285-4192"</f>
        <v>515-285-4192</v>
      </c>
    </row>
    <row r="194" spans="1:11" x14ac:dyDescent="0.35">
      <c r="A194" s="3" t="str">
        <f>"96-60"</f>
        <v>96-60</v>
      </c>
      <c r="B194" s="3"/>
      <c r="C194" s="3" t="s">
        <v>1806</v>
      </c>
      <c r="D194" s="3" t="s">
        <v>1807</v>
      </c>
      <c r="E194" s="3" t="s">
        <v>167</v>
      </c>
      <c r="F194" s="3" t="s">
        <v>1808</v>
      </c>
      <c r="G194" s="3" t="s">
        <v>1693</v>
      </c>
      <c r="H194" s="3" t="s">
        <v>888</v>
      </c>
      <c r="I194" s="3" t="s">
        <v>889</v>
      </c>
      <c r="J194" s="3" t="s">
        <v>78</v>
      </c>
      <c r="K194" s="3" t="str">
        <f>"563-556-2921"</f>
        <v>563-556-2921</v>
      </c>
    </row>
    <row r="195" spans="1:11" x14ac:dyDescent="0.35">
      <c r="A195" s="3" t="str">
        <f>"05-14"</f>
        <v>05-14</v>
      </c>
      <c r="B195" s="3" t="s">
        <v>479</v>
      </c>
      <c r="C195" s="3" t="s">
        <v>480</v>
      </c>
      <c r="D195" s="3" t="s">
        <v>10</v>
      </c>
      <c r="E195" s="3" t="s">
        <v>11</v>
      </c>
      <c r="F195" s="3" t="s">
        <v>481</v>
      </c>
      <c r="G195" s="3" t="s">
        <v>322</v>
      </c>
      <c r="H195" s="3" t="s">
        <v>319</v>
      </c>
      <c r="I195" s="3" t="s">
        <v>320</v>
      </c>
      <c r="J195" s="3" t="s">
        <v>16</v>
      </c>
      <c r="K195" s="3" t="str">
        <f>"651-815-0665"</f>
        <v>651-815-0665</v>
      </c>
    </row>
    <row r="196" spans="1:11" x14ac:dyDescent="0.35">
      <c r="A196" s="3" t="s">
        <v>656</v>
      </c>
      <c r="B196" s="3" t="s">
        <v>656</v>
      </c>
      <c r="C196" s="3" t="s">
        <v>657</v>
      </c>
      <c r="D196" s="3" t="s">
        <v>18</v>
      </c>
      <c r="E196" s="3" t="s">
        <v>19</v>
      </c>
      <c r="F196" s="3" t="s">
        <v>660</v>
      </c>
      <c r="G196" s="3" t="s">
        <v>661</v>
      </c>
      <c r="H196" s="3" t="s">
        <v>658</v>
      </c>
      <c r="I196" s="3" t="s">
        <v>659</v>
      </c>
      <c r="J196" s="3" t="s">
        <v>87</v>
      </c>
      <c r="K196" s="3" t="str">
        <f>"563-557-4450"</f>
        <v>563-557-4450</v>
      </c>
    </row>
    <row r="197" spans="1:11" x14ac:dyDescent="0.35">
      <c r="A197" s="3" t="s">
        <v>529</v>
      </c>
      <c r="B197" s="3" t="s">
        <v>529</v>
      </c>
      <c r="C197" s="3" t="s">
        <v>530</v>
      </c>
      <c r="D197" s="3" t="s">
        <v>136</v>
      </c>
      <c r="E197" s="3" t="s">
        <v>137</v>
      </c>
      <c r="F197" s="3" t="s">
        <v>222</v>
      </c>
      <c r="G197" s="3" t="s">
        <v>223</v>
      </c>
      <c r="H197" s="3" t="s">
        <v>222</v>
      </c>
      <c r="I197" s="3" t="s">
        <v>223</v>
      </c>
      <c r="J197" s="3" t="s">
        <v>31</v>
      </c>
      <c r="K197" s="3" t="str">
        <f>"515-573-7751"</f>
        <v>515-573-7751</v>
      </c>
    </row>
    <row r="198" spans="1:11" x14ac:dyDescent="0.35">
      <c r="A198" s="3" t="str">
        <f>"05-19"</f>
        <v>05-19</v>
      </c>
      <c r="B198" s="3" t="s">
        <v>492</v>
      </c>
      <c r="C198" s="3" t="s">
        <v>493</v>
      </c>
      <c r="D198" s="3" t="s">
        <v>399</v>
      </c>
      <c r="E198" s="3" t="s">
        <v>400</v>
      </c>
      <c r="F198" s="3" t="s">
        <v>494</v>
      </c>
      <c r="G198" s="3" t="s">
        <v>495</v>
      </c>
      <c r="H198" s="3" t="s">
        <v>59</v>
      </c>
      <c r="I198" s="3" t="s">
        <v>60</v>
      </c>
      <c r="J198" s="3" t="s">
        <v>44</v>
      </c>
      <c r="K198" s="3" t="str">
        <f>"563-263-6900"</f>
        <v>563-263-6900</v>
      </c>
    </row>
    <row r="199" spans="1:11" x14ac:dyDescent="0.35">
      <c r="A199" s="3" t="s">
        <v>1439</v>
      </c>
      <c r="B199" s="3" t="s">
        <v>1439</v>
      </c>
      <c r="C199" s="3" t="s">
        <v>1440</v>
      </c>
      <c r="D199" s="3" t="s">
        <v>57</v>
      </c>
      <c r="E199" s="3" t="s">
        <v>58</v>
      </c>
      <c r="F199" s="3" t="s">
        <v>1441</v>
      </c>
      <c r="G199" s="3" t="s">
        <v>1442</v>
      </c>
      <c r="H199" s="3" t="s">
        <v>1441</v>
      </c>
      <c r="I199" s="3" t="s">
        <v>1442</v>
      </c>
      <c r="J199" s="3" t="s">
        <v>16</v>
      </c>
      <c r="K199" s="3" t="str">
        <f>"319-338-5416"</f>
        <v>319-338-5416</v>
      </c>
    </row>
    <row r="200" spans="1:11" x14ac:dyDescent="0.35">
      <c r="A200" s="3" t="str">
        <f>"96-69"</f>
        <v>96-69</v>
      </c>
      <c r="B200" s="3" t="s">
        <v>1817</v>
      </c>
      <c r="C200" s="3" t="s">
        <v>1818</v>
      </c>
      <c r="D200" s="3" t="s">
        <v>1819</v>
      </c>
      <c r="E200" s="3" t="s">
        <v>1820</v>
      </c>
      <c r="F200" s="3" t="s">
        <v>1821</v>
      </c>
      <c r="G200" s="3" t="s">
        <v>108</v>
      </c>
      <c r="H200" s="3" t="s">
        <v>105</v>
      </c>
      <c r="I200" s="3" t="s">
        <v>106</v>
      </c>
      <c r="J200" s="3" t="s">
        <v>87</v>
      </c>
      <c r="K200" s="3" t="str">
        <f>"712-240-2188"</f>
        <v>712-240-2188</v>
      </c>
    </row>
    <row r="201" spans="1:11" x14ac:dyDescent="0.35">
      <c r="A201" s="3" t="str">
        <f>"98-75"</f>
        <v>98-75</v>
      </c>
      <c r="B201" s="3" t="s">
        <v>1976</v>
      </c>
      <c r="C201" s="3" t="s">
        <v>1977</v>
      </c>
      <c r="D201" s="3" t="s">
        <v>1978</v>
      </c>
      <c r="E201" s="3" t="s">
        <v>950</v>
      </c>
      <c r="F201" s="3" t="s">
        <v>1979</v>
      </c>
      <c r="G201" s="3" t="s">
        <v>77</v>
      </c>
      <c r="H201" s="3" t="s">
        <v>74</v>
      </c>
      <c r="I201" s="3" t="s">
        <v>75</v>
      </c>
      <c r="J201" s="3" t="s">
        <v>78</v>
      </c>
      <c r="K201" s="3" t="str">
        <f>"402-488-1666"</f>
        <v>402-488-1666</v>
      </c>
    </row>
    <row r="202" spans="1:11" x14ac:dyDescent="0.35">
      <c r="A202" s="3" t="str">
        <f>"15-15-4"</f>
        <v>15-15-4</v>
      </c>
      <c r="B202" s="3" t="s">
        <v>1349</v>
      </c>
      <c r="C202" s="3" t="s">
        <v>1350</v>
      </c>
      <c r="D202" s="3" t="s">
        <v>1351</v>
      </c>
      <c r="E202" s="3" t="s">
        <v>1252</v>
      </c>
      <c r="F202" s="3" t="s">
        <v>1352</v>
      </c>
      <c r="G202" s="3" t="s">
        <v>1256</v>
      </c>
      <c r="H202" s="3" t="s">
        <v>1253</v>
      </c>
      <c r="I202" s="3" t="s">
        <v>1254</v>
      </c>
      <c r="J202" s="3" t="s">
        <v>87</v>
      </c>
      <c r="K202" s="3" t="str">
        <f>"402-434-3344"</f>
        <v>402-434-3344</v>
      </c>
    </row>
    <row r="203" spans="1:11" x14ac:dyDescent="0.35">
      <c r="A203" s="3" t="str">
        <f>"10-10-269"</f>
        <v>10-10-269</v>
      </c>
      <c r="B203" s="3"/>
      <c r="C203" s="3" t="s">
        <v>1009</v>
      </c>
      <c r="D203" s="3" t="s">
        <v>945</v>
      </c>
      <c r="E203" s="3" t="s">
        <v>946</v>
      </c>
      <c r="F203" s="3" t="s">
        <v>1010</v>
      </c>
      <c r="G203" s="3" t="s">
        <v>988</v>
      </c>
      <c r="H203" s="3" t="s">
        <v>83</v>
      </c>
      <c r="I203" s="3" t="s">
        <v>84</v>
      </c>
      <c r="J203" s="3" t="s">
        <v>87</v>
      </c>
      <c r="K203" s="3" t="str">
        <f>"515-223-1113"</f>
        <v>515-223-1113</v>
      </c>
    </row>
    <row r="204" spans="1:11" x14ac:dyDescent="0.35">
      <c r="A204" s="3" t="str">
        <f>"08-06"</f>
        <v>08-06</v>
      </c>
      <c r="B204" s="3" t="s">
        <v>770</v>
      </c>
      <c r="C204" s="3" t="s">
        <v>771</v>
      </c>
      <c r="D204" s="3" t="s">
        <v>772</v>
      </c>
      <c r="E204" s="3" t="s">
        <v>773</v>
      </c>
      <c r="F204" s="3" t="s">
        <v>774</v>
      </c>
      <c r="G204" s="3" t="s">
        <v>42</v>
      </c>
      <c r="H204" s="3" t="s">
        <v>39</v>
      </c>
      <c r="I204" s="3" t="s">
        <v>40</v>
      </c>
      <c r="J204" s="3" t="s">
        <v>44</v>
      </c>
      <c r="K204" s="3" t="str">
        <f>"515-262-5965"</f>
        <v>515-262-5965</v>
      </c>
    </row>
    <row r="205" spans="1:11" x14ac:dyDescent="0.35">
      <c r="A205" s="3" t="str">
        <f>"03-15"</f>
        <v>03-15</v>
      </c>
      <c r="B205" s="3"/>
      <c r="C205" s="3" t="s">
        <v>312</v>
      </c>
      <c r="D205" s="3" t="s">
        <v>229</v>
      </c>
      <c r="E205" s="3" t="s">
        <v>230</v>
      </c>
      <c r="F205" s="3" t="s">
        <v>315</v>
      </c>
      <c r="G205" s="3" t="s">
        <v>316</v>
      </c>
      <c r="H205" s="3" t="s">
        <v>313</v>
      </c>
      <c r="I205" s="3" t="s">
        <v>314</v>
      </c>
      <c r="J205" s="3" t="s">
        <v>87</v>
      </c>
      <c r="K205" s="3" t="str">
        <f>"414-727-9902"</f>
        <v>414-727-9902</v>
      </c>
    </row>
    <row r="206" spans="1:11" x14ac:dyDescent="0.35">
      <c r="A206" s="3" t="s">
        <v>837</v>
      </c>
      <c r="B206" s="3" t="s">
        <v>837</v>
      </c>
      <c r="C206" s="3" t="s">
        <v>838</v>
      </c>
      <c r="D206" s="3" t="s">
        <v>839</v>
      </c>
      <c r="E206" s="3" t="s">
        <v>840</v>
      </c>
      <c r="F206" s="3" t="s">
        <v>841</v>
      </c>
      <c r="G206" s="3" t="s">
        <v>843</v>
      </c>
      <c r="H206" s="3" t="s">
        <v>841</v>
      </c>
      <c r="I206" s="3" t="s">
        <v>842</v>
      </c>
      <c r="J206" s="3" t="s">
        <v>31</v>
      </c>
      <c r="K206" s="3" t="str">
        <f>"515-885-2723"</f>
        <v>515-885-2723</v>
      </c>
    </row>
    <row r="207" spans="1:11" x14ac:dyDescent="0.35">
      <c r="A207" s="3" t="s">
        <v>195</v>
      </c>
      <c r="B207" s="3" t="s">
        <v>195</v>
      </c>
      <c r="C207" s="3" t="s">
        <v>196</v>
      </c>
      <c r="D207" s="3" t="s">
        <v>197</v>
      </c>
      <c r="E207" s="3" t="s">
        <v>198</v>
      </c>
      <c r="F207" s="3" t="s">
        <v>199</v>
      </c>
      <c r="G207" s="3" t="s">
        <v>62</v>
      </c>
      <c r="H207" s="3" t="s">
        <v>59</v>
      </c>
      <c r="I207" s="3" t="s">
        <v>60</v>
      </c>
      <c r="J207" s="3" t="s">
        <v>44</v>
      </c>
      <c r="K207" s="3" t="str">
        <f>"319-338-7600"</f>
        <v>319-338-7600</v>
      </c>
    </row>
    <row r="208" spans="1:11" x14ac:dyDescent="0.35">
      <c r="A208" s="3" t="str">
        <f>"10-10-261"</f>
        <v>10-10-261</v>
      </c>
      <c r="B208" s="3"/>
      <c r="C208" s="3" t="s">
        <v>996</v>
      </c>
      <c r="D208" s="3" t="s">
        <v>179</v>
      </c>
      <c r="E208" s="3" t="s">
        <v>43</v>
      </c>
      <c r="F208" s="3" t="s">
        <v>997</v>
      </c>
      <c r="G208" s="3" t="s">
        <v>998</v>
      </c>
      <c r="H208" s="3" t="s">
        <v>704</v>
      </c>
      <c r="I208" s="3" t="s">
        <v>705</v>
      </c>
      <c r="J208" s="3" t="s">
        <v>31</v>
      </c>
      <c r="K208" s="3" t="str">
        <f>"816-561-1033"</f>
        <v>816-561-1033</v>
      </c>
    </row>
    <row r="209" spans="1:11" x14ac:dyDescent="0.35">
      <c r="A209" s="3" t="s">
        <v>831</v>
      </c>
      <c r="B209" s="3" t="s">
        <v>831</v>
      </c>
      <c r="C209" s="3" t="s">
        <v>832</v>
      </c>
      <c r="D209" s="3" t="s">
        <v>772</v>
      </c>
      <c r="E209" s="3" t="s">
        <v>773</v>
      </c>
      <c r="F209" s="3" t="s">
        <v>833</v>
      </c>
      <c r="G209" s="3" t="s">
        <v>705</v>
      </c>
      <c r="H209" s="3" t="s">
        <v>704</v>
      </c>
      <c r="I209" s="3" t="s">
        <v>705</v>
      </c>
      <c r="J209" s="3" t="s">
        <v>31</v>
      </c>
      <c r="K209" s="3" t="str">
        <f>"515-490-9001"</f>
        <v>515-490-9001</v>
      </c>
    </row>
    <row r="210" spans="1:11" x14ac:dyDescent="0.35">
      <c r="A210" s="3" t="str">
        <f>"90-37"</f>
        <v>90-37</v>
      </c>
      <c r="B210" s="3"/>
      <c r="C210" s="3" t="s">
        <v>1512</v>
      </c>
      <c r="D210" s="3" t="s">
        <v>1063</v>
      </c>
      <c r="E210" s="3" t="s">
        <v>160</v>
      </c>
      <c r="F210" s="3" t="s">
        <v>1513</v>
      </c>
      <c r="G210" s="3" t="s">
        <v>680</v>
      </c>
      <c r="H210" s="3" t="s">
        <v>679</v>
      </c>
      <c r="I210" s="3" t="s">
        <v>680</v>
      </c>
      <c r="J210" s="3" t="s">
        <v>16</v>
      </c>
      <c r="K210" s="3" t="str">
        <f>"515-689-8593"</f>
        <v>515-689-8593</v>
      </c>
    </row>
    <row r="211" spans="1:11" x14ac:dyDescent="0.35">
      <c r="A211" s="3" t="str">
        <f>"92-10"</f>
        <v>92-10</v>
      </c>
      <c r="B211" s="3"/>
      <c r="C211" s="3" t="s">
        <v>1611</v>
      </c>
      <c r="D211" s="3" t="s">
        <v>1290</v>
      </c>
      <c r="E211" s="3" t="s">
        <v>1291</v>
      </c>
      <c r="F211" s="3" t="s">
        <v>1612</v>
      </c>
      <c r="G211" s="3" t="s">
        <v>1548</v>
      </c>
      <c r="H211" s="3" t="s">
        <v>1547</v>
      </c>
      <c r="I211" s="3" t="s">
        <v>1548</v>
      </c>
      <c r="J211" s="3" t="s">
        <v>31</v>
      </c>
      <c r="K211" s="3" t="str">
        <f>"573-443-2021"</f>
        <v>573-443-2021</v>
      </c>
    </row>
    <row r="212" spans="1:11" x14ac:dyDescent="0.35">
      <c r="A212" s="3" t="str">
        <f>"04-40"</f>
        <v>04-40</v>
      </c>
      <c r="B212" s="3" t="s">
        <v>420</v>
      </c>
      <c r="C212" s="3" t="s">
        <v>421</v>
      </c>
      <c r="D212" s="3" t="s">
        <v>422</v>
      </c>
      <c r="E212" s="3" t="s">
        <v>423</v>
      </c>
      <c r="F212" s="3" t="s">
        <v>424</v>
      </c>
      <c r="G212" s="3" t="s">
        <v>42</v>
      </c>
      <c r="H212" s="3" t="s">
        <v>39</v>
      </c>
      <c r="I212" s="3" t="s">
        <v>40</v>
      </c>
      <c r="J212" s="3" t="s">
        <v>44</v>
      </c>
      <c r="K212" s="3" t="str">
        <f>"515-262-5965"</f>
        <v>515-262-5965</v>
      </c>
    </row>
    <row r="213" spans="1:11" x14ac:dyDescent="0.35">
      <c r="A213" s="3" t="str">
        <f>"15-15-17"</f>
        <v>15-15-17</v>
      </c>
      <c r="B213" s="3" t="s">
        <v>1323</v>
      </c>
      <c r="C213" s="3" t="s">
        <v>1324</v>
      </c>
      <c r="D213" s="3" t="s">
        <v>1325</v>
      </c>
      <c r="E213" s="3" t="s">
        <v>82</v>
      </c>
      <c r="F213" s="3" t="s">
        <v>1326</v>
      </c>
      <c r="G213" s="3" t="s">
        <v>705</v>
      </c>
      <c r="H213" s="3" t="s">
        <v>704</v>
      </c>
      <c r="I213" s="3" t="s">
        <v>705</v>
      </c>
      <c r="J213" s="3" t="s">
        <v>31</v>
      </c>
      <c r="K213" s="3" t="str">
        <f>"515-490-9001"</f>
        <v>515-490-9001</v>
      </c>
    </row>
    <row r="214" spans="1:11" x14ac:dyDescent="0.35">
      <c r="A214" s="3" t="str">
        <f>"91-52"</f>
        <v>91-52</v>
      </c>
      <c r="B214" s="3"/>
      <c r="C214" s="3" t="s">
        <v>1593</v>
      </c>
      <c r="D214" s="3" t="s">
        <v>65</v>
      </c>
      <c r="E214" s="3" t="s">
        <v>66</v>
      </c>
      <c r="F214" s="3" t="s">
        <v>1594</v>
      </c>
      <c r="G214" s="3" t="s">
        <v>108</v>
      </c>
      <c r="H214" s="3" t="s">
        <v>105</v>
      </c>
      <c r="I214" s="3" t="s">
        <v>106</v>
      </c>
      <c r="J214" s="3" t="s">
        <v>87</v>
      </c>
      <c r="K214" s="3" t="str">
        <f>"712-240-2188"</f>
        <v>712-240-2188</v>
      </c>
    </row>
    <row r="215" spans="1:11" x14ac:dyDescent="0.35">
      <c r="A215" s="3" t="str">
        <f>"06-16"</f>
        <v>06-16</v>
      </c>
      <c r="B215" s="3"/>
      <c r="C215" s="3" t="s">
        <v>584</v>
      </c>
      <c r="D215" s="3" t="s">
        <v>159</v>
      </c>
      <c r="E215" s="3" t="s">
        <v>160</v>
      </c>
      <c r="F215" s="3" t="s">
        <v>585</v>
      </c>
      <c r="G215" s="3" t="s">
        <v>90</v>
      </c>
      <c r="H215" s="3" t="s">
        <v>89</v>
      </c>
      <c r="I215" s="3" t="s">
        <v>90</v>
      </c>
      <c r="J215" s="3" t="s">
        <v>78</v>
      </c>
      <c r="K215" s="3" t="str">
        <f>"515-246-8016"</f>
        <v>515-246-8016</v>
      </c>
    </row>
    <row r="216" spans="1:11" x14ac:dyDescent="0.35">
      <c r="A216" s="3" t="str">
        <f>"12-12-41"</f>
        <v>12-12-41</v>
      </c>
      <c r="B216" s="3"/>
      <c r="C216" s="3" t="s">
        <v>1153</v>
      </c>
      <c r="D216" s="3" t="s">
        <v>10</v>
      </c>
      <c r="E216" s="3" t="s">
        <v>11</v>
      </c>
      <c r="F216" s="3" t="s">
        <v>1154</v>
      </c>
      <c r="G216" s="3" t="s">
        <v>450</v>
      </c>
      <c r="H216" s="3" t="s">
        <v>447</v>
      </c>
      <c r="I216" s="3" t="s">
        <v>448</v>
      </c>
      <c r="J216" s="3" t="s">
        <v>31</v>
      </c>
      <c r="K216" s="3" t="str">
        <f>"612-332-3000"</f>
        <v>612-332-3000</v>
      </c>
    </row>
    <row r="217" spans="1:11" x14ac:dyDescent="0.35">
      <c r="A217" s="3" t="str">
        <f>"16-14"</f>
        <v>16-14</v>
      </c>
      <c r="B217" s="3"/>
      <c r="C217" s="3" t="s">
        <v>1377</v>
      </c>
      <c r="D217" s="3" t="s">
        <v>399</v>
      </c>
      <c r="E217" s="3" t="s">
        <v>400</v>
      </c>
      <c r="F217" s="3" t="s">
        <v>1378</v>
      </c>
      <c r="G217" s="3" t="s">
        <v>963</v>
      </c>
      <c r="H217" s="3" t="s">
        <v>960</v>
      </c>
      <c r="I217" s="3" t="s">
        <v>961</v>
      </c>
      <c r="J217" s="3" t="s">
        <v>78</v>
      </c>
      <c r="K217" s="3" t="str">
        <f>"513-964-1140"</f>
        <v>513-964-1140</v>
      </c>
    </row>
    <row r="218" spans="1:11" x14ac:dyDescent="0.35">
      <c r="A218" s="3" t="str">
        <f>"98-02"</f>
        <v>98-02</v>
      </c>
      <c r="B218" s="3" t="s">
        <v>1893</v>
      </c>
      <c r="C218" s="3" t="s">
        <v>1894</v>
      </c>
      <c r="D218" s="3" t="s">
        <v>1519</v>
      </c>
      <c r="E218" s="3" t="s">
        <v>1053</v>
      </c>
      <c r="F218" s="3" t="s">
        <v>1895</v>
      </c>
      <c r="G218" s="3" t="s">
        <v>42</v>
      </c>
      <c r="H218" s="3" t="s">
        <v>39</v>
      </c>
      <c r="I218" s="3" t="s">
        <v>40</v>
      </c>
      <c r="J218" s="3" t="s">
        <v>44</v>
      </c>
      <c r="K218" s="3" t="str">
        <f>"515-262-5965"</f>
        <v>515-262-5965</v>
      </c>
    </row>
    <row r="219" spans="1:11" x14ac:dyDescent="0.35">
      <c r="A219" s="3" t="str">
        <f>"08-09"</f>
        <v>08-09</v>
      </c>
      <c r="B219" s="3"/>
      <c r="C219" s="3" t="s">
        <v>778</v>
      </c>
      <c r="D219" s="3" t="s">
        <v>25</v>
      </c>
      <c r="E219" s="3" t="s">
        <v>26</v>
      </c>
      <c r="F219" s="3" t="s">
        <v>779</v>
      </c>
      <c r="G219" s="3" t="s">
        <v>780</v>
      </c>
      <c r="H219" s="3" t="s">
        <v>20</v>
      </c>
      <c r="I219" s="3" t="s">
        <v>21</v>
      </c>
      <c r="J219" s="3" t="s">
        <v>16</v>
      </c>
      <c r="K219" s="3" t="str">
        <f>"612-812-1999"</f>
        <v>612-812-1999</v>
      </c>
    </row>
    <row r="220" spans="1:11" x14ac:dyDescent="0.35">
      <c r="A220" s="3" t="str">
        <f>"06-03"</f>
        <v>06-03</v>
      </c>
      <c r="B220" s="3"/>
      <c r="C220" s="3" t="s">
        <v>566</v>
      </c>
      <c r="D220" s="3" t="s">
        <v>159</v>
      </c>
      <c r="E220" s="3" t="s">
        <v>160</v>
      </c>
      <c r="F220" s="3" t="s">
        <v>567</v>
      </c>
      <c r="G220" s="3" t="s">
        <v>23</v>
      </c>
      <c r="H220" s="3" t="s">
        <v>20</v>
      </c>
      <c r="I220" s="3" t="s">
        <v>21</v>
      </c>
      <c r="J220" s="3" t="s">
        <v>16</v>
      </c>
      <c r="K220" s="3" t="str">
        <f>"314-307-1035"</f>
        <v>314-307-1035</v>
      </c>
    </row>
    <row r="221" spans="1:11" x14ac:dyDescent="0.35">
      <c r="A221" s="3" t="str">
        <f>"01-10"</f>
        <v>01-10</v>
      </c>
      <c r="B221" s="3" t="s">
        <v>144</v>
      </c>
      <c r="C221" s="3" t="s">
        <v>145</v>
      </c>
      <c r="D221" s="3" t="s">
        <v>52</v>
      </c>
      <c r="E221" s="3" t="s">
        <v>38</v>
      </c>
      <c r="F221" s="3" t="s">
        <v>146</v>
      </c>
      <c r="G221" s="3" t="s">
        <v>108</v>
      </c>
      <c r="H221" s="3" t="s">
        <v>83</v>
      </c>
      <c r="I221" s="3" t="s">
        <v>84</v>
      </c>
      <c r="J221" s="3" t="s">
        <v>87</v>
      </c>
      <c r="K221" s="3" t="str">
        <f>"712-580-5360"</f>
        <v>712-580-5360</v>
      </c>
    </row>
    <row r="222" spans="1:11" x14ac:dyDescent="0.35">
      <c r="A222" s="3" t="s">
        <v>2052</v>
      </c>
      <c r="B222" s="3" t="s">
        <v>2052</v>
      </c>
      <c r="C222" s="3" t="s">
        <v>2053</v>
      </c>
      <c r="D222" s="3" t="s">
        <v>25</v>
      </c>
      <c r="E222" s="3" t="s">
        <v>26</v>
      </c>
      <c r="F222" s="3" t="s">
        <v>699</v>
      </c>
      <c r="G222" s="3" t="s">
        <v>702</v>
      </c>
      <c r="H222" s="3" t="s">
        <v>699</v>
      </c>
      <c r="I222" s="3" t="s">
        <v>700</v>
      </c>
      <c r="J222" s="3" t="s">
        <v>31</v>
      </c>
      <c r="K222" s="3" t="str">
        <f>"402-934-8874"</f>
        <v>402-934-8874</v>
      </c>
    </row>
    <row r="223" spans="1:11" x14ac:dyDescent="0.35">
      <c r="A223" s="3" t="str">
        <f>"07-31"</f>
        <v>07-31</v>
      </c>
      <c r="B223" s="3"/>
      <c r="C223" s="3" t="s">
        <v>698</v>
      </c>
      <c r="D223" s="3" t="s">
        <v>25</v>
      </c>
      <c r="E223" s="3" t="s">
        <v>26</v>
      </c>
      <c r="F223" s="3" t="s">
        <v>701</v>
      </c>
      <c r="G223" s="3" t="s">
        <v>702</v>
      </c>
      <c r="H223" s="3" t="s">
        <v>699</v>
      </c>
      <c r="I223" s="3" t="s">
        <v>700</v>
      </c>
      <c r="J223" s="3" t="s">
        <v>31</v>
      </c>
      <c r="K223" s="3" t="str">
        <f>"402-934-8874"</f>
        <v>402-934-8874</v>
      </c>
    </row>
    <row r="224" spans="1:11" x14ac:dyDescent="0.35">
      <c r="A224" s="3" t="str">
        <f>"12-12-27"</f>
        <v>12-12-27</v>
      </c>
      <c r="B224" s="3"/>
      <c r="C224" s="3" t="s">
        <v>1138</v>
      </c>
      <c r="D224" s="3" t="s">
        <v>136</v>
      </c>
      <c r="E224" s="3" t="s">
        <v>137</v>
      </c>
      <c r="F224" s="3" t="s">
        <v>1141</v>
      </c>
      <c r="G224" s="3" t="s">
        <v>1142</v>
      </c>
      <c r="H224" s="3" t="s">
        <v>1139</v>
      </c>
      <c r="I224" s="3" t="s">
        <v>1140</v>
      </c>
      <c r="J224" s="3" t="s">
        <v>78</v>
      </c>
      <c r="K224" s="3" t="str">
        <f>"641-209-1883"</f>
        <v>641-209-1883</v>
      </c>
    </row>
    <row r="225" spans="1:11" x14ac:dyDescent="0.35">
      <c r="A225" s="3" t="str">
        <f>"00-03"</f>
        <v>00-03</v>
      </c>
      <c r="B225" s="3"/>
      <c r="C225" s="3" t="s">
        <v>17</v>
      </c>
      <c r="D225" s="3" t="s">
        <v>18</v>
      </c>
      <c r="E225" s="3" t="s">
        <v>19</v>
      </c>
      <c r="F225" s="3" t="s">
        <v>22</v>
      </c>
      <c r="G225" s="3" t="s">
        <v>23</v>
      </c>
      <c r="H225" s="3" t="s">
        <v>20</v>
      </c>
      <c r="I225" s="3" t="s">
        <v>21</v>
      </c>
      <c r="J225" s="3" t="s">
        <v>16</v>
      </c>
      <c r="K225" s="3" t="str">
        <f>"314-307-1035"</f>
        <v>314-307-1035</v>
      </c>
    </row>
    <row r="226" spans="1:11" x14ac:dyDescent="0.35">
      <c r="A226" s="3" t="str">
        <f>"02-28"</f>
        <v>02-28</v>
      </c>
      <c r="B226" s="3" t="s">
        <v>271</v>
      </c>
      <c r="C226" s="3" t="s">
        <v>272</v>
      </c>
      <c r="D226" s="3" t="s">
        <v>159</v>
      </c>
      <c r="E226" s="3" t="s">
        <v>160</v>
      </c>
      <c r="F226" s="3" t="s">
        <v>273</v>
      </c>
      <c r="G226" s="3" t="s">
        <v>274</v>
      </c>
      <c r="H226" s="3" t="s">
        <v>83</v>
      </c>
      <c r="I226" s="3" t="s">
        <v>84</v>
      </c>
      <c r="J226" s="3" t="s">
        <v>87</v>
      </c>
      <c r="K226" s="3" t="str">
        <f>"712-546-6003"</f>
        <v>712-546-6003</v>
      </c>
    </row>
    <row r="227" spans="1:11" x14ac:dyDescent="0.35">
      <c r="A227" s="3" t="str">
        <f>"93-25"</f>
        <v>93-25</v>
      </c>
      <c r="B227" s="3"/>
      <c r="C227" s="3" t="s">
        <v>1668</v>
      </c>
      <c r="D227" s="3" t="s">
        <v>308</v>
      </c>
      <c r="E227" s="3" t="s">
        <v>309</v>
      </c>
      <c r="F227" s="3" t="s">
        <v>1669</v>
      </c>
      <c r="G227" s="3" t="s">
        <v>108</v>
      </c>
      <c r="H227" s="3" t="s">
        <v>105</v>
      </c>
      <c r="I227" s="3" t="s">
        <v>106</v>
      </c>
      <c r="J227" s="3" t="s">
        <v>87</v>
      </c>
      <c r="K227" s="3" t="str">
        <f>"712-240-2188"</f>
        <v>712-240-2188</v>
      </c>
    </row>
    <row r="228" spans="1:11" x14ac:dyDescent="0.35">
      <c r="A228" s="3" t="str">
        <f>"98-29"</f>
        <v>98-29</v>
      </c>
      <c r="B228" s="3" t="s">
        <v>1931</v>
      </c>
      <c r="C228" s="3" t="s">
        <v>1932</v>
      </c>
      <c r="D228" s="3" t="s">
        <v>772</v>
      </c>
      <c r="E228" s="3" t="s">
        <v>773</v>
      </c>
      <c r="F228" s="3" t="s">
        <v>1933</v>
      </c>
      <c r="G228" s="3" t="s">
        <v>62</v>
      </c>
      <c r="H228" s="3" t="s">
        <v>59</v>
      </c>
      <c r="I228" s="3" t="s">
        <v>60</v>
      </c>
      <c r="J228" s="3" t="s">
        <v>44</v>
      </c>
      <c r="K228" s="3" t="str">
        <f>"319-338-7600"</f>
        <v>319-338-7600</v>
      </c>
    </row>
    <row r="229" spans="1:11" x14ac:dyDescent="0.35">
      <c r="A229" s="3" t="str">
        <f>"98-77"</f>
        <v>98-77</v>
      </c>
      <c r="B229" s="3" t="s">
        <v>1983</v>
      </c>
      <c r="C229" s="3" t="s">
        <v>1984</v>
      </c>
      <c r="D229" s="3" t="s">
        <v>772</v>
      </c>
      <c r="E229" s="3" t="s">
        <v>773</v>
      </c>
      <c r="F229" s="3" t="s">
        <v>1985</v>
      </c>
      <c r="G229" s="3" t="s">
        <v>62</v>
      </c>
      <c r="H229" s="3" t="s">
        <v>59</v>
      </c>
      <c r="I229" s="3" t="s">
        <v>60</v>
      </c>
      <c r="J229" s="3" t="s">
        <v>44</v>
      </c>
      <c r="K229" s="3" t="str">
        <f>"319-338-7600"</f>
        <v>319-338-7600</v>
      </c>
    </row>
    <row r="230" spans="1:11" x14ac:dyDescent="0.35">
      <c r="A230" s="3" t="str">
        <f>"94-15"</f>
        <v>94-15</v>
      </c>
      <c r="B230" s="3"/>
      <c r="C230" s="3" t="s">
        <v>1710</v>
      </c>
      <c r="D230" s="3" t="s">
        <v>149</v>
      </c>
      <c r="E230" s="3" t="s">
        <v>150</v>
      </c>
      <c r="F230" s="3" t="s">
        <v>1713</v>
      </c>
      <c r="G230" s="3" t="s">
        <v>1712</v>
      </c>
      <c r="H230" s="3" t="s">
        <v>1711</v>
      </c>
      <c r="I230" s="3" t="s">
        <v>1712</v>
      </c>
      <c r="J230" s="3" t="s">
        <v>16</v>
      </c>
      <c r="K230" s="3" t="str">
        <f>"641-485-9235"</f>
        <v>641-485-9235</v>
      </c>
    </row>
    <row r="231" spans="1:11" x14ac:dyDescent="0.35">
      <c r="A231" s="3" t="str">
        <f>"14-14-28"</f>
        <v>14-14-28</v>
      </c>
      <c r="B231" s="3" t="s">
        <v>1262</v>
      </c>
      <c r="C231" s="3" t="s">
        <v>1263</v>
      </c>
      <c r="D231" s="3" t="s">
        <v>1264</v>
      </c>
      <c r="E231" s="3" t="s">
        <v>1265</v>
      </c>
      <c r="F231" s="3" t="s">
        <v>1268</v>
      </c>
      <c r="G231" s="3" t="s">
        <v>1269</v>
      </c>
      <c r="H231" s="3" t="s">
        <v>1266</v>
      </c>
      <c r="I231" s="3" t="s">
        <v>1267</v>
      </c>
      <c r="J231" s="3" t="s">
        <v>87</v>
      </c>
      <c r="K231" s="3" t="str">
        <f>"309-678-0822"</f>
        <v>309-678-0822</v>
      </c>
    </row>
    <row r="232" spans="1:11" x14ac:dyDescent="0.35">
      <c r="A232" s="3" t="str">
        <f>"07-42"</f>
        <v>07-42</v>
      </c>
      <c r="B232" s="3"/>
      <c r="C232" s="3" t="s">
        <v>716</v>
      </c>
      <c r="D232" s="3" t="s">
        <v>52</v>
      </c>
      <c r="E232" s="3" t="s">
        <v>38</v>
      </c>
      <c r="F232" s="3" t="s">
        <v>719</v>
      </c>
      <c r="G232" s="3" t="s">
        <v>720</v>
      </c>
      <c r="H232" s="3" t="s">
        <v>717</v>
      </c>
      <c r="I232" s="3" t="s">
        <v>718</v>
      </c>
      <c r="J232" s="3" t="s">
        <v>31</v>
      </c>
      <c r="K232" s="3" t="str">
        <f>"763-354-5613"</f>
        <v>763-354-5613</v>
      </c>
    </row>
    <row r="233" spans="1:11" x14ac:dyDescent="0.35">
      <c r="A233" s="3" t="str">
        <f>"13-13-14"</f>
        <v>13-13-14</v>
      </c>
      <c r="B233" s="3"/>
      <c r="C233" s="3" t="s">
        <v>1187</v>
      </c>
      <c r="D233" s="3" t="s">
        <v>159</v>
      </c>
      <c r="E233" s="3" t="s">
        <v>160</v>
      </c>
      <c r="F233" s="3" t="s">
        <v>89</v>
      </c>
      <c r="G233" s="3" t="s">
        <v>90</v>
      </c>
      <c r="H233" s="3" t="s">
        <v>89</v>
      </c>
      <c r="I233" s="3" t="s">
        <v>90</v>
      </c>
      <c r="J233" s="3" t="s">
        <v>78</v>
      </c>
      <c r="K233" s="3" t="str">
        <f>"515-246-8016"</f>
        <v>515-246-8016</v>
      </c>
    </row>
    <row r="234" spans="1:11" x14ac:dyDescent="0.35">
      <c r="A234" s="3" t="str">
        <f>"13-13-18"</f>
        <v>13-13-18</v>
      </c>
      <c r="B234" s="3"/>
      <c r="C234" s="3" t="s">
        <v>1191</v>
      </c>
      <c r="D234" s="3" t="s">
        <v>159</v>
      </c>
      <c r="E234" s="3" t="s">
        <v>160</v>
      </c>
      <c r="F234" s="3" t="s">
        <v>89</v>
      </c>
      <c r="G234" s="3" t="s">
        <v>90</v>
      </c>
      <c r="H234" s="3" t="s">
        <v>89</v>
      </c>
      <c r="I234" s="3" t="s">
        <v>90</v>
      </c>
      <c r="J234" s="3" t="s">
        <v>78</v>
      </c>
      <c r="K234" s="3" t="str">
        <f>"515-246-8016"</f>
        <v>515-246-8016</v>
      </c>
    </row>
    <row r="235" spans="1:11" x14ac:dyDescent="0.35">
      <c r="A235" s="3" t="str">
        <f>"90-05"</f>
        <v>90-05</v>
      </c>
      <c r="B235" s="3"/>
      <c r="C235" s="3" t="s">
        <v>1475</v>
      </c>
      <c r="D235" s="3" t="s">
        <v>1299</v>
      </c>
      <c r="E235" s="3" t="s">
        <v>1300</v>
      </c>
      <c r="F235" s="3" t="s">
        <v>1478</v>
      </c>
      <c r="G235" s="3" t="s">
        <v>1479</v>
      </c>
      <c r="H235" s="3" t="s">
        <v>1476</v>
      </c>
      <c r="I235" s="3" t="s">
        <v>1477</v>
      </c>
      <c r="J235" s="3" t="s">
        <v>78</v>
      </c>
      <c r="K235" s="3" t="str">
        <f>"563-854-7414"</f>
        <v>563-854-7414</v>
      </c>
    </row>
    <row r="236" spans="1:11" x14ac:dyDescent="0.35">
      <c r="A236" s="3" t="str">
        <f>"08-0906"</f>
        <v>08-0906</v>
      </c>
      <c r="B236" s="3" t="s">
        <v>785</v>
      </c>
      <c r="C236" s="3" t="s">
        <v>786</v>
      </c>
      <c r="D236" s="3" t="s">
        <v>159</v>
      </c>
      <c r="E236" s="3" t="s">
        <v>160</v>
      </c>
      <c r="F236" s="3" t="s">
        <v>789</v>
      </c>
      <c r="G236" s="3" t="s">
        <v>790</v>
      </c>
      <c r="H236" s="3" t="s">
        <v>787</v>
      </c>
      <c r="I236" s="3" t="s">
        <v>788</v>
      </c>
      <c r="J236" s="3" t="s">
        <v>16</v>
      </c>
      <c r="K236" s="3" t="str">
        <f>"515-244-7702"</f>
        <v>515-244-7702</v>
      </c>
    </row>
    <row r="237" spans="1:11" x14ac:dyDescent="0.35">
      <c r="A237" s="3" t="str">
        <f>"08-0908"</f>
        <v>08-0908</v>
      </c>
      <c r="B237" s="3" t="s">
        <v>791</v>
      </c>
      <c r="C237" s="3" t="s">
        <v>792</v>
      </c>
      <c r="D237" s="3" t="s">
        <v>159</v>
      </c>
      <c r="E237" s="3" t="s">
        <v>160</v>
      </c>
      <c r="F237" s="3" t="s">
        <v>793</v>
      </c>
      <c r="G237" s="3" t="s">
        <v>790</v>
      </c>
      <c r="H237" s="3" t="s">
        <v>787</v>
      </c>
      <c r="I237" s="3" t="s">
        <v>788</v>
      </c>
      <c r="J237" s="3" t="s">
        <v>16</v>
      </c>
      <c r="K237" s="3" t="str">
        <f>"515-244-7702"</f>
        <v>515-244-7702</v>
      </c>
    </row>
    <row r="238" spans="1:11" x14ac:dyDescent="0.35">
      <c r="A238" s="3" t="str">
        <f>"08-0929"</f>
        <v>08-0929</v>
      </c>
      <c r="B238" s="3"/>
      <c r="C238" s="3" t="s">
        <v>811</v>
      </c>
      <c r="D238" s="3" t="s">
        <v>649</v>
      </c>
      <c r="E238" s="3" t="s">
        <v>11</v>
      </c>
      <c r="F238" s="3" t="s">
        <v>812</v>
      </c>
      <c r="G238" s="3" t="s">
        <v>15</v>
      </c>
      <c r="H238" s="3" t="s">
        <v>12</v>
      </c>
      <c r="I238" s="3" t="s">
        <v>13</v>
      </c>
      <c r="J238" s="3" t="s">
        <v>16</v>
      </c>
      <c r="K238" s="3" t="str">
        <f>"608-348-7755"</f>
        <v>608-348-7755</v>
      </c>
    </row>
    <row r="239" spans="1:11" x14ac:dyDescent="0.35">
      <c r="A239" s="3" t="str">
        <f>"09-0930"</f>
        <v>09-0930</v>
      </c>
      <c r="B239" s="3"/>
      <c r="C239" s="3" t="s">
        <v>875</v>
      </c>
      <c r="D239" s="3" t="s">
        <v>81</v>
      </c>
      <c r="E239" s="3" t="s">
        <v>82</v>
      </c>
      <c r="F239" s="3" t="s">
        <v>876</v>
      </c>
      <c r="G239" s="3" t="s">
        <v>15</v>
      </c>
      <c r="H239" s="3" t="s">
        <v>12</v>
      </c>
      <c r="I239" s="3" t="s">
        <v>13</v>
      </c>
      <c r="J239" s="3" t="s">
        <v>16</v>
      </c>
      <c r="K239" s="3" t="str">
        <f>"608-348-7755"</f>
        <v>608-348-7755</v>
      </c>
    </row>
    <row r="240" spans="1:11" x14ac:dyDescent="0.35">
      <c r="A240" s="3" t="str">
        <f>"04-28"</f>
        <v>04-28</v>
      </c>
      <c r="B240" s="3" t="s">
        <v>404</v>
      </c>
      <c r="C240" s="3" t="s">
        <v>405</v>
      </c>
      <c r="D240" s="3" t="s">
        <v>70</v>
      </c>
      <c r="E240" s="3" t="s">
        <v>71</v>
      </c>
      <c r="F240" s="3" t="s">
        <v>406</v>
      </c>
      <c r="G240" s="3" t="s">
        <v>407</v>
      </c>
      <c r="H240" s="3" t="s">
        <v>266</v>
      </c>
      <c r="I240" s="3" t="s">
        <v>280</v>
      </c>
      <c r="J240" s="3" t="s">
        <v>78</v>
      </c>
      <c r="K240" s="3" t="str">
        <f>"319-526-8975"</f>
        <v>319-526-8975</v>
      </c>
    </row>
    <row r="241" spans="1:11" x14ac:dyDescent="0.35">
      <c r="A241" s="3" t="str">
        <f>"18-31"</f>
        <v>18-31</v>
      </c>
      <c r="B241" s="3"/>
      <c r="C241" s="3" t="s">
        <v>1448</v>
      </c>
      <c r="D241" s="3" t="s">
        <v>949</v>
      </c>
      <c r="E241" s="3" t="s">
        <v>950</v>
      </c>
      <c r="F241" s="3" t="s">
        <v>1449</v>
      </c>
      <c r="G241" s="3" t="s">
        <v>1450</v>
      </c>
      <c r="H241" s="3" t="s">
        <v>239</v>
      </c>
      <c r="I241" s="3" t="s">
        <v>240</v>
      </c>
      <c r="J241" s="3" t="s">
        <v>87</v>
      </c>
      <c r="K241" s="3" t="str">
        <f>"515-208-5414"</f>
        <v>515-208-5414</v>
      </c>
    </row>
    <row r="242" spans="1:11" x14ac:dyDescent="0.35">
      <c r="A242" s="3" t="str">
        <f>"14-14-32"</f>
        <v>14-14-32</v>
      </c>
      <c r="B242" s="3"/>
      <c r="C242" s="3" t="s">
        <v>1277</v>
      </c>
      <c r="D242" s="3" t="s">
        <v>166</v>
      </c>
      <c r="E242" s="3" t="s">
        <v>167</v>
      </c>
      <c r="F242" s="3" t="s">
        <v>1280</v>
      </c>
      <c r="G242" s="3" t="s">
        <v>1281</v>
      </c>
      <c r="H242" s="3" t="s">
        <v>1278</v>
      </c>
      <c r="I242" s="3" t="s">
        <v>1279</v>
      </c>
      <c r="J242" s="3" t="s">
        <v>31</v>
      </c>
      <c r="K242" s="3" t="str">
        <f>"310-207-0882"</f>
        <v>310-207-0882</v>
      </c>
    </row>
    <row r="243" spans="1:11" x14ac:dyDescent="0.35">
      <c r="A243" s="3" t="str">
        <f>"04-46"</f>
        <v>04-46</v>
      </c>
      <c r="B243" s="3"/>
      <c r="C243" s="3" t="s">
        <v>438</v>
      </c>
      <c r="D243" s="3" t="s">
        <v>159</v>
      </c>
      <c r="E243" s="3" t="s">
        <v>160</v>
      </c>
      <c r="F243" s="3" t="s">
        <v>441</v>
      </c>
      <c r="G243" s="3" t="s">
        <v>442</v>
      </c>
      <c r="H243" s="3" t="s">
        <v>439</v>
      </c>
      <c r="I243" s="3" t="s">
        <v>440</v>
      </c>
      <c r="J243" s="3" t="s">
        <v>87</v>
      </c>
      <c r="K243" s="3" t="str">
        <f>"515-280-2053"</f>
        <v>515-280-2053</v>
      </c>
    </row>
    <row r="244" spans="1:11" x14ac:dyDescent="0.35">
      <c r="A244" s="3" t="str">
        <f>"06-42"</f>
        <v>06-42</v>
      </c>
      <c r="B244" s="3" t="s">
        <v>635</v>
      </c>
      <c r="C244" s="3" t="s">
        <v>636</v>
      </c>
      <c r="D244" s="3" t="s">
        <v>637</v>
      </c>
      <c r="E244" s="3" t="s">
        <v>638</v>
      </c>
      <c r="F244" s="3" t="s">
        <v>639</v>
      </c>
      <c r="G244" s="3" t="s">
        <v>322</v>
      </c>
      <c r="H244" s="3" t="s">
        <v>319</v>
      </c>
      <c r="I244" s="3" t="s">
        <v>320</v>
      </c>
      <c r="J244" s="3" t="s">
        <v>16</v>
      </c>
      <c r="K244" s="3" t="str">
        <f>"651-815-0665"</f>
        <v>651-815-0665</v>
      </c>
    </row>
    <row r="245" spans="1:11" x14ac:dyDescent="0.35">
      <c r="A245" s="3" t="str">
        <f>"94-38"</f>
        <v>94-38</v>
      </c>
      <c r="B245" s="3"/>
      <c r="C245" s="3" t="s">
        <v>1722</v>
      </c>
      <c r="D245" s="3" t="s">
        <v>949</v>
      </c>
      <c r="E245" s="3" t="s">
        <v>950</v>
      </c>
      <c r="F245" s="3" t="s">
        <v>1723</v>
      </c>
      <c r="G245" s="3" t="s">
        <v>364</v>
      </c>
      <c r="H245" s="3" t="s">
        <v>361</v>
      </c>
      <c r="I245" s="3" t="s">
        <v>362</v>
      </c>
      <c r="J245" s="3" t="s">
        <v>78</v>
      </c>
      <c r="K245" s="3" t="str">
        <f>"312-285-6335"</f>
        <v>312-285-6335</v>
      </c>
    </row>
    <row r="246" spans="1:11" x14ac:dyDescent="0.35">
      <c r="A246" s="3" t="str">
        <f>"99-23"</f>
        <v>99-23</v>
      </c>
      <c r="B246" s="3"/>
      <c r="C246" s="3" t="s">
        <v>2009</v>
      </c>
      <c r="D246" s="3" t="s">
        <v>483</v>
      </c>
      <c r="E246" s="3" t="s">
        <v>376</v>
      </c>
      <c r="F246" s="3" t="s">
        <v>2010</v>
      </c>
      <c r="G246" s="3" t="s">
        <v>15</v>
      </c>
      <c r="H246" s="3" t="s">
        <v>12</v>
      </c>
      <c r="I246" s="3" t="s">
        <v>13</v>
      </c>
      <c r="J246" s="3" t="s">
        <v>16</v>
      </c>
      <c r="K246" s="3" t="str">
        <f>"608-348-7755"</f>
        <v>608-348-7755</v>
      </c>
    </row>
    <row r="247" spans="1:11" x14ac:dyDescent="0.35">
      <c r="A247" s="3" t="str">
        <f>"05-15"</f>
        <v>05-15</v>
      </c>
      <c r="B247" s="3"/>
      <c r="C247" s="3" t="s">
        <v>482</v>
      </c>
      <c r="D247" s="3" t="s">
        <v>483</v>
      </c>
      <c r="E247" s="3" t="s">
        <v>376</v>
      </c>
      <c r="F247" s="3" t="s">
        <v>484</v>
      </c>
      <c r="G247" s="3" t="s">
        <v>34</v>
      </c>
      <c r="H247" s="3" t="s">
        <v>12</v>
      </c>
      <c r="I247" s="3" t="s">
        <v>13</v>
      </c>
      <c r="J247" s="3" t="s">
        <v>16</v>
      </c>
      <c r="K247" s="3" t="str">
        <f>"800-333-3509"</f>
        <v>800-333-3509</v>
      </c>
    </row>
    <row r="248" spans="1:11" x14ac:dyDescent="0.35">
      <c r="A248" s="3" t="str">
        <f>"06-13"</f>
        <v>06-13</v>
      </c>
      <c r="B248" s="3"/>
      <c r="C248" s="3" t="s">
        <v>582</v>
      </c>
      <c r="D248" s="3" t="s">
        <v>110</v>
      </c>
      <c r="E248" s="3" t="s">
        <v>111</v>
      </c>
      <c r="F248" s="3" t="s">
        <v>583</v>
      </c>
      <c r="G248" s="3" t="s">
        <v>62</v>
      </c>
      <c r="H248" s="3" t="s">
        <v>59</v>
      </c>
      <c r="I248" s="3" t="s">
        <v>60</v>
      </c>
      <c r="J248" s="3" t="s">
        <v>44</v>
      </c>
      <c r="K248" s="3" t="str">
        <f>"319-338-7600"</f>
        <v>319-338-7600</v>
      </c>
    </row>
    <row r="249" spans="1:11" x14ac:dyDescent="0.35">
      <c r="A249" s="3" t="str">
        <f>"99-02"</f>
        <v>99-02</v>
      </c>
      <c r="B249" s="3" t="s">
        <v>1997</v>
      </c>
      <c r="C249" s="3" t="s">
        <v>1998</v>
      </c>
      <c r="D249" s="3" t="s">
        <v>637</v>
      </c>
      <c r="E249" s="3" t="s">
        <v>638</v>
      </c>
      <c r="F249" s="3" t="s">
        <v>1999</v>
      </c>
      <c r="G249" s="3" t="s">
        <v>42</v>
      </c>
      <c r="H249" s="3" t="s">
        <v>39</v>
      </c>
      <c r="I249" s="3" t="s">
        <v>40</v>
      </c>
      <c r="J249" s="3" t="s">
        <v>44</v>
      </c>
      <c r="K249" s="3" t="str">
        <f>"515-262-5965"</f>
        <v>515-262-5965</v>
      </c>
    </row>
    <row r="250" spans="1:11" x14ac:dyDescent="0.35">
      <c r="A250" s="3" t="str">
        <f>"05-20"</f>
        <v>05-20</v>
      </c>
      <c r="B250" s="3" t="s">
        <v>496</v>
      </c>
      <c r="C250" s="3" t="s">
        <v>497</v>
      </c>
      <c r="D250" s="3" t="s">
        <v>498</v>
      </c>
      <c r="E250" s="3" t="s">
        <v>499</v>
      </c>
      <c r="F250" s="3" t="s">
        <v>500</v>
      </c>
      <c r="G250" s="3" t="s">
        <v>501</v>
      </c>
      <c r="H250" s="3" t="s">
        <v>59</v>
      </c>
      <c r="I250" s="3" t="s">
        <v>60</v>
      </c>
      <c r="J250" s="3" t="s">
        <v>44</v>
      </c>
      <c r="K250" s="3" t="str">
        <f>"641-472-2851"</f>
        <v>641-472-2851</v>
      </c>
    </row>
    <row r="251" spans="1:11" x14ac:dyDescent="0.35">
      <c r="A251" s="3" t="str">
        <f>"06-11"</f>
        <v>06-11</v>
      </c>
      <c r="B251" s="3" t="s">
        <v>575</v>
      </c>
      <c r="C251" s="3" t="s">
        <v>576</v>
      </c>
      <c r="D251" s="3" t="s">
        <v>367</v>
      </c>
      <c r="E251" s="3" t="s">
        <v>58</v>
      </c>
      <c r="F251" s="3" t="s">
        <v>577</v>
      </c>
      <c r="G251" s="3" t="s">
        <v>62</v>
      </c>
      <c r="H251" s="3" t="s">
        <v>59</v>
      </c>
      <c r="I251" s="3" t="s">
        <v>60</v>
      </c>
      <c r="J251" s="3" t="s">
        <v>44</v>
      </c>
      <c r="K251" s="3" t="str">
        <f>"319-338-7600"</f>
        <v>319-338-7600</v>
      </c>
    </row>
    <row r="252" spans="1:11" x14ac:dyDescent="0.35">
      <c r="A252" s="3" t="str">
        <f>"07-18"</f>
        <v>07-18</v>
      </c>
      <c r="B252" s="3" t="s">
        <v>686</v>
      </c>
      <c r="C252" s="3" t="s">
        <v>687</v>
      </c>
      <c r="D252" s="3" t="s">
        <v>367</v>
      </c>
      <c r="E252" s="3" t="s">
        <v>58</v>
      </c>
      <c r="F252" s="3" t="s">
        <v>688</v>
      </c>
      <c r="G252" s="3" t="s">
        <v>62</v>
      </c>
      <c r="H252" s="3" t="s">
        <v>59</v>
      </c>
      <c r="I252" s="3" t="s">
        <v>60</v>
      </c>
      <c r="J252" s="3" t="s">
        <v>44</v>
      </c>
      <c r="K252" s="3" t="str">
        <f>"319-338-7600"</f>
        <v>319-338-7600</v>
      </c>
    </row>
    <row r="253" spans="1:11" x14ac:dyDescent="0.35">
      <c r="A253" s="3" t="str">
        <f>"03-35"</f>
        <v>03-35</v>
      </c>
      <c r="B253" s="3" t="s">
        <v>352</v>
      </c>
      <c r="C253" s="3" t="s">
        <v>353</v>
      </c>
      <c r="D253" s="3" t="s">
        <v>18</v>
      </c>
      <c r="E253" s="3" t="s">
        <v>19</v>
      </c>
      <c r="F253" s="3" t="s">
        <v>354</v>
      </c>
      <c r="G253" s="3" t="s">
        <v>355</v>
      </c>
      <c r="H253" s="3" t="s">
        <v>59</v>
      </c>
      <c r="I253" s="3" t="s">
        <v>60</v>
      </c>
      <c r="J253" s="3" t="s">
        <v>44</v>
      </c>
      <c r="K253" s="3" t="str">
        <f>"563-556-7560"</f>
        <v>563-556-7560</v>
      </c>
    </row>
    <row r="254" spans="1:11" x14ac:dyDescent="0.35">
      <c r="A254" s="3" t="str">
        <f>"15-15-20"</f>
        <v>15-15-20</v>
      </c>
      <c r="B254" s="3" t="s">
        <v>1335</v>
      </c>
      <c r="C254" s="3" t="s">
        <v>1336</v>
      </c>
      <c r="D254" s="3" t="s">
        <v>70</v>
      </c>
      <c r="E254" s="3" t="s">
        <v>71</v>
      </c>
      <c r="F254" s="3" t="s">
        <v>1337</v>
      </c>
      <c r="G254" s="3" t="s">
        <v>963</v>
      </c>
      <c r="H254" s="3" t="s">
        <v>960</v>
      </c>
      <c r="I254" s="3" t="s">
        <v>961</v>
      </c>
      <c r="J254" s="3" t="s">
        <v>78</v>
      </c>
      <c r="K254" s="3" t="str">
        <f>"513-964-1140"</f>
        <v>513-964-1140</v>
      </c>
    </row>
    <row r="255" spans="1:11" x14ac:dyDescent="0.35">
      <c r="A255" s="3" t="str">
        <f>"14-14-27"</f>
        <v>14-14-27</v>
      </c>
      <c r="B255" s="3"/>
      <c r="C255" s="3" t="s">
        <v>1257</v>
      </c>
      <c r="D255" s="3" t="s">
        <v>110</v>
      </c>
      <c r="E255" s="3" t="s">
        <v>111</v>
      </c>
      <c r="F255" s="3" t="s">
        <v>1260</v>
      </c>
      <c r="G255" s="3" t="s">
        <v>1261</v>
      </c>
      <c r="H255" s="3" t="s">
        <v>1258</v>
      </c>
      <c r="I255" s="3" t="s">
        <v>1259</v>
      </c>
      <c r="J255" s="3" t="s">
        <v>31</v>
      </c>
      <c r="K255" s="3" t="str">
        <f>"320-202-3100"</f>
        <v>320-202-3100</v>
      </c>
    </row>
    <row r="256" spans="1:11" x14ac:dyDescent="0.35">
      <c r="A256" s="3" t="s">
        <v>756</v>
      </c>
      <c r="B256" s="3" t="s">
        <v>756</v>
      </c>
      <c r="C256" s="3" t="s">
        <v>757</v>
      </c>
      <c r="D256" s="3" t="s">
        <v>758</v>
      </c>
      <c r="E256" s="3" t="s">
        <v>270</v>
      </c>
      <c r="F256" s="3" t="s">
        <v>759</v>
      </c>
      <c r="G256" s="3" t="s">
        <v>62</v>
      </c>
      <c r="H256" s="3" t="s">
        <v>59</v>
      </c>
      <c r="I256" s="3" t="s">
        <v>60</v>
      </c>
      <c r="J256" s="3" t="s">
        <v>44</v>
      </c>
      <c r="K256" s="3" t="str">
        <f>"319-338-7600"</f>
        <v>319-338-7600</v>
      </c>
    </row>
    <row r="257" spans="1:11" x14ac:dyDescent="0.35">
      <c r="A257" s="3" t="str">
        <f>"99-29"</f>
        <v>99-29</v>
      </c>
      <c r="B257" s="3" t="s">
        <v>2013</v>
      </c>
      <c r="C257" s="3" t="s">
        <v>2014</v>
      </c>
      <c r="D257" s="3" t="s">
        <v>159</v>
      </c>
      <c r="E257" s="3" t="s">
        <v>160</v>
      </c>
      <c r="F257" s="3" t="s">
        <v>2015</v>
      </c>
      <c r="G257" s="3" t="s">
        <v>162</v>
      </c>
      <c r="H257" s="3" t="s">
        <v>161</v>
      </c>
      <c r="I257" s="3" t="s">
        <v>162</v>
      </c>
      <c r="J257" s="3" t="s">
        <v>31</v>
      </c>
      <c r="K257" s="3" t="str">
        <f>"515-244-8308"</f>
        <v>515-244-8308</v>
      </c>
    </row>
    <row r="258" spans="1:11" x14ac:dyDescent="0.35">
      <c r="A258" s="3" t="str">
        <f>"15-15-3"</f>
        <v>15-15-3</v>
      </c>
      <c r="B258" s="3"/>
      <c r="C258" s="3" t="s">
        <v>1347</v>
      </c>
      <c r="D258" s="3" t="s">
        <v>10</v>
      </c>
      <c r="E258" s="3" t="s">
        <v>11</v>
      </c>
      <c r="F258" s="3" t="s">
        <v>1348</v>
      </c>
      <c r="G258" s="3" t="s">
        <v>881</v>
      </c>
      <c r="H258" s="3" t="s">
        <v>878</v>
      </c>
      <c r="I258" s="3" t="s">
        <v>879</v>
      </c>
      <c r="J258" s="3" t="s">
        <v>31</v>
      </c>
      <c r="K258" s="3" t="str">
        <f>"612-243-4636"</f>
        <v>612-243-4636</v>
      </c>
    </row>
    <row r="259" spans="1:11" x14ac:dyDescent="0.35">
      <c r="A259" s="3" t="str">
        <f>"04-43"</f>
        <v>04-43</v>
      </c>
      <c r="B259" s="3" t="s">
        <v>429</v>
      </c>
      <c r="C259" s="3" t="s">
        <v>430</v>
      </c>
      <c r="D259" s="3" t="s">
        <v>431</v>
      </c>
      <c r="E259" s="3" t="s">
        <v>230</v>
      </c>
      <c r="F259" s="3" t="s">
        <v>432</v>
      </c>
      <c r="G259" s="3" t="s">
        <v>247</v>
      </c>
      <c r="H259" s="3" t="s">
        <v>246</v>
      </c>
      <c r="I259" s="3" t="s">
        <v>247</v>
      </c>
      <c r="J259" s="3" t="s">
        <v>16</v>
      </c>
      <c r="K259" s="3" t="str">
        <f>"262-790-4560"</f>
        <v>262-790-4560</v>
      </c>
    </row>
    <row r="260" spans="1:11" x14ac:dyDescent="0.35">
      <c r="A260" s="3" t="str">
        <f>"05-29"</f>
        <v>05-29</v>
      </c>
      <c r="B260" s="3"/>
      <c r="C260" s="3" t="s">
        <v>509</v>
      </c>
      <c r="D260" s="3" t="s">
        <v>431</v>
      </c>
      <c r="E260" s="3" t="s">
        <v>230</v>
      </c>
      <c r="F260" s="3" t="s">
        <v>510</v>
      </c>
      <c r="G260" s="3" t="s">
        <v>247</v>
      </c>
      <c r="H260" s="3" t="s">
        <v>246</v>
      </c>
      <c r="I260" s="3" t="s">
        <v>247</v>
      </c>
      <c r="J260" s="3" t="s">
        <v>16</v>
      </c>
      <c r="K260" s="3" t="str">
        <f>"262-790-4560"</f>
        <v>262-790-4560</v>
      </c>
    </row>
    <row r="261" spans="1:11" x14ac:dyDescent="0.35">
      <c r="A261" s="3" t="str">
        <f>"92-25"</f>
        <v>92-25</v>
      </c>
      <c r="B261" s="3"/>
      <c r="C261" s="3" t="s">
        <v>1622</v>
      </c>
      <c r="D261" s="3" t="s">
        <v>1623</v>
      </c>
      <c r="E261" s="3" t="s">
        <v>1552</v>
      </c>
      <c r="F261" s="3" t="s">
        <v>1624</v>
      </c>
      <c r="G261" s="3" t="s">
        <v>108</v>
      </c>
      <c r="H261" s="3" t="s">
        <v>105</v>
      </c>
      <c r="I261" s="3" t="s">
        <v>106</v>
      </c>
      <c r="J261" s="3" t="s">
        <v>87</v>
      </c>
      <c r="K261" s="3" t="str">
        <f>"712-240-2188"</f>
        <v>712-240-2188</v>
      </c>
    </row>
    <row r="262" spans="1:11" x14ac:dyDescent="0.35">
      <c r="A262" s="3" t="str">
        <f>"98-06"</f>
        <v>98-06</v>
      </c>
      <c r="B262" s="3" t="s">
        <v>1899</v>
      </c>
      <c r="C262" s="3" t="s">
        <v>1900</v>
      </c>
      <c r="D262" s="3" t="s">
        <v>47</v>
      </c>
      <c r="E262" s="3" t="s">
        <v>48</v>
      </c>
      <c r="F262" s="3" t="s">
        <v>1901</v>
      </c>
      <c r="G262" s="3" t="s">
        <v>42</v>
      </c>
      <c r="H262" s="3" t="s">
        <v>39</v>
      </c>
      <c r="I262" s="3" t="s">
        <v>40</v>
      </c>
      <c r="J262" s="3" t="s">
        <v>44</v>
      </c>
      <c r="K262" s="3" t="str">
        <f>"515-262-5965"</f>
        <v>515-262-5965</v>
      </c>
    </row>
    <row r="263" spans="1:11" x14ac:dyDescent="0.35">
      <c r="A263" s="3" t="str">
        <f>"06-25"</f>
        <v>06-25</v>
      </c>
      <c r="B263" s="3"/>
      <c r="C263" s="3" t="s">
        <v>605</v>
      </c>
      <c r="D263" s="3" t="s">
        <v>606</v>
      </c>
      <c r="E263" s="3" t="s">
        <v>607</v>
      </c>
      <c r="F263" s="3" t="s">
        <v>608</v>
      </c>
      <c r="G263" s="3" t="s">
        <v>604</v>
      </c>
      <c r="H263" s="3" t="s">
        <v>601</v>
      </c>
      <c r="I263" s="3" t="s">
        <v>602</v>
      </c>
      <c r="J263" s="3" t="s">
        <v>87</v>
      </c>
      <c r="K263" s="3" t="str">
        <f>"515-224-4442"</f>
        <v>515-224-4442</v>
      </c>
    </row>
    <row r="264" spans="1:11" x14ac:dyDescent="0.35">
      <c r="A264" s="3" t="str">
        <f>"90-21"</f>
        <v>90-21</v>
      </c>
      <c r="B264" s="3"/>
      <c r="C264" s="3" t="s">
        <v>1491</v>
      </c>
      <c r="D264" s="3" t="s">
        <v>297</v>
      </c>
      <c r="E264" s="3" t="s">
        <v>298</v>
      </c>
      <c r="F264" s="3" t="s">
        <v>1492</v>
      </c>
      <c r="G264" s="3" t="s">
        <v>62</v>
      </c>
      <c r="H264" s="3" t="s">
        <v>59</v>
      </c>
      <c r="I264" s="3" t="s">
        <v>60</v>
      </c>
      <c r="J264" s="3" t="s">
        <v>44</v>
      </c>
      <c r="K264" s="3" t="str">
        <f>"319-338-7600"</f>
        <v>319-338-7600</v>
      </c>
    </row>
    <row r="265" spans="1:11" x14ac:dyDescent="0.35">
      <c r="A265" s="3" t="str">
        <f>"91-46"</f>
        <v>91-46</v>
      </c>
      <c r="B265" s="3"/>
      <c r="C265" s="3" t="s">
        <v>1586</v>
      </c>
      <c r="D265" s="3" t="s">
        <v>1587</v>
      </c>
      <c r="E265" s="3" t="s">
        <v>1588</v>
      </c>
      <c r="F265" s="3" t="s">
        <v>1589</v>
      </c>
      <c r="G265" s="3" t="s">
        <v>62</v>
      </c>
      <c r="H265" s="3" t="s">
        <v>59</v>
      </c>
      <c r="I265" s="3" t="s">
        <v>60</v>
      </c>
      <c r="J265" s="3" t="s">
        <v>44</v>
      </c>
      <c r="K265" s="3" t="str">
        <f>"319-338-7600"</f>
        <v>319-338-7600</v>
      </c>
    </row>
    <row r="266" spans="1:11" x14ac:dyDescent="0.35">
      <c r="A266" s="3" t="str">
        <f>"90-20"</f>
        <v>90-20</v>
      </c>
      <c r="B266" s="3"/>
      <c r="C266" s="3" t="s">
        <v>1487</v>
      </c>
      <c r="D266" s="3" t="s">
        <v>1488</v>
      </c>
      <c r="E266" s="3" t="s">
        <v>1489</v>
      </c>
      <c r="F266" s="3" t="s">
        <v>1490</v>
      </c>
      <c r="G266" s="3" t="s">
        <v>62</v>
      </c>
      <c r="H266" s="3" t="s">
        <v>59</v>
      </c>
      <c r="I266" s="3" t="s">
        <v>60</v>
      </c>
      <c r="J266" s="3" t="s">
        <v>44</v>
      </c>
      <c r="K266" s="3" t="str">
        <f>"319-338-7600"</f>
        <v>319-338-7600</v>
      </c>
    </row>
    <row r="267" spans="1:11" x14ac:dyDescent="0.35">
      <c r="A267" s="3" t="str">
        <f>"92-35"</f>
        <v>92-35</v>
      </c>
      <c r="B267" s="3"/>
      <c r="C267" s="3" t="s">
        <v>1632</v>
      </c>
      <c r="D267" s="3" t="s">
        <v>913</v>
      </c>
      <c r="E267" s="3" t="s">
        <v>746</v>
      </c>
      <c r="F267" s="3" t="s">
        <v>1633</v>
      </c>
      <c r="G267" s="3" t="s">
        <v>62</v>
      </c>
      <c r="H267" s="3" t="s">
        <v>59</v>
      </c>
      <c r="I267" s="3" t="s">
        <v>60</v>
      </c>
      <c r="J267" s="3" t="s">
        <v>44</v>
      </c>
      <c r="K267" s="3" t="str">
        <f>"319-338-7600"</f>
        <v>319-338-7600</v>
      </c>
    </row>
    <row r="268" spans="1:11" x14ac:dyDescent="0.35">
      <c r="A268" s="3" t="str">
        <f>"92-34"</f>
        <v>92-34</v>
      </c>
      <c r="B268" s="3"/>
      <c r="C268" s="3" t="s">
        <v>1630</v>
      </c>
      <c r="D268" s="3" t="s">
        <v>197</v>
      </c>
      <c r="E268" s="3" t="s">
        <v>198</v>
      </c>
      <c r="F268" s="3" t="s">
        <v>1631</v>
      </c>
      <c r="G268" s="3" t="s">
        <v>62</v>
      </c>
      <c r="H268" s="3" t="s">
        <v>59</v>
      </c>
      <c r="I268" s="3" t="s">
        <v>60</v>
      </c>
      <c r="J268" s="3" t="s">
        <v>44</v>
      </c>
      <c r="K268" s="3" t="str">
        <f>"319-338-7600"</f>
        <v>319-338-7600</v>
      </c>
    </row>
    <row r="269" spans="1:11" x14ac:dyDescent="0.35">
      <c r="A269" s="3" t="str">
        <f>"90-22"</f>
        <v>90-22</v>
      </c>
      <c r="B269" s="3"/>
      <c r="C269" s="3" t="s">
        <v>1493</v>
      </c>
      <c r="D269" s="3" t="s">
        <v>630</v>
      </c>
      <c r="E269" s="3" t="s">
        <v>631</v>
      </c>
      <c r="F269" s="3" t="s">
        <v>1494</v>
      </c>
      <c r="G269" s="3" t="s">
        <v>62</v>
      </c>
      <c r="H269" s="3" t="s">
        <v>59</v>
      </c>
      <c r="I269" s="3" t="s">
        <v>60</v>
      </c>
      <c r="J269" s="3" t="s">
        <v>44</v>
      </c>
      <c r="K269" s="3" t="str">
        <f>"319-338-7600"</f>
        <v>319-338-7600</v>
      </c>
    </row>
    <row r="270" spans="1:11" x14ac:dyDescent="0.35">
      <c r="A270" s="3" t="str">
        <f>"09-0932"</f>
        <v>09-0932</v>
      </c>
      <c r="B270" s="3"/>
      <c r="C270" s="3" t="s">
        <v>877</v>
      </c>
      <c r="D270" s="3" t="s">
        <v>284</v>
      </c>
      <c r="E270" s="3" t="s">
        <v>285</v>
      </c>
      <c r="F270" s="3" t="s">
        <v>880</v>
      </c>
      <c r="G270" s="3" t="s">
        <v>881</v>
      </c>
      <c r="H270" s="3" t="s">
        <v>878</v>
      </c>
      <c r="I270" s="3" t="s">
        <v>879</v>
      </c>
      <c r="J270" s="3" t="s">
        <v>31</v>
      </c>
      <c r="K270" s="3" t="str">
        <f>"612-243-4636"</f>
        <v>612-243-4636</v>
      </c>
    </row>
    <row r="271" spans="1:11" x14ac:dyDescent="0.35">
      <c r="A271" s="3" t="str">
        <f>"91-10"</f>
        <v>91-10</v>
      </c>
      <c r="B271" s="3"/>
      <c r="C271" s="3" t="s">
        <v>1559</v>
      </c>
      <c r="D271" s="3" t="s">
        <v>18</v>
      </c>
      <c r="E271" s="3" t="s">
        <v>19</v>
      </c>
      <c r="F271" s="3" t="s">
        <v>1562</v>
      </c>
      <c r="G271" s="3" t="s">
        <v>1561</v>
      </c>
      <c r="H271" s="3" t="s">
        <v>1560</v>
      </c>
      <c r="I271" s="3" t="s">
        <v>1561</v>
      </c>
      <c r="J271" s="3" t="s">
        <v>87</v>
      </c>
      <c r="K271" s="3" t="str">
        <f>"563-588-1574"</f>
        <v>563-588-1574</v>
      </c>
    </row>
    <row r="272" spans="1:11" x14ac:dyDescent="0.35">
      <c r="A272" s="3" t="str">
        <f>"92-32"</f>
        <v>92-32</v>
      </c>
      <c r="B272" s="3"/>
      <c r="C272" s="3" t="s">
        <v>1625</v>
      </c>
      <c r="D272" s="3" t="s">
        <v>1602</v>
      </c>
      <c r="E272" s="3" t="s">
        <v>150</v>
      </c>
      <c r="F272" s="3" t="s">
        <v>1626</v>
      </c>
      <c r="G272" s="3" t="s">
        <v>1604</v>
      </c>
      <c r="H272" s="3" t="s">
        <v>83</v>
      </c>
      <c r="I272" s="3" t="s">
        <v>84</v>
      </c>
      <c r="J272" s="3" t="s">
        <v>87</v>
      </c>
      <c r="K272" s="3" t="str">
        <f>"641-352-0117"</f>
        <v>641-352-0117</v>
      </c>
    </row>
    <row r="273" spans="1:11" x14ac:dyDescent="0.35">
      <c r="A273" s="3" t="s">
        <v>1177</v>
      </c>
      <c r="B273" s="3" t="s">
        <v>1177</v>
      </c>
      <c r="C273" s="3" t="s">
        <v>1178</v>
      </c>
      <c r="D273" s="3" t="s">
        <v>159</v>
      </c>
      <c r="E273" s="3" t="s">
        <v>160</v>
      </c>
      <c r="F273" s="3" t="s">
        <v>1181</v>
      </c>
      <c r="G273" s="3" t="s">
        <v>1182</v>
      </c>
      <c r="H273" s="3" t="s">
        <v>1179</v>
      </c>
      <c r="I273" s="3" t="s">
        <v>1180</v>
      </c>
      <c r="J273" s="3" t="s">
        <v>16</v>
      </c>
      <c r="K273" s="3" t="str">
        <f>"515-664-6268"</f>
        <v>515-664-6268</v>
      </c>
    </row>
    <row r="274" spans="1:11" x14ac:dyDescent="0.35">
      <c r="A274" s="3" t="str">
        <f>"11-11-1"</f>
        <v>11-11-1</v>
      </c>
      <c r="B274" s="3"/>
      <c r="C274" s="3" t="s">
        <v>1060</v>
      </c>
      <c r="D274" s="3" t="s">
        <v>110</v>
      </c>
      <c r="E274" s="3" t="s">
        <v>111</v>
      </c>
      <c r="F274" s="3" t="s">
        <v>1061</v>
      </c>
      <c r="G274" s="3" t="s">
        <v>930</v>
      </c>
      <c r="H274" s="3" t="s">
        <v>704</v>
      </c>
      <c r="I274" s="3" t="s">
        <v>705</v>
      </c>
      <c r="J274" s="3" t="s">
        <v>31</v>
      </c>
      <c r="K274" s="3" t="str">
        <f>"815-540-4733"</f>
        <v>815-540-4733</v>
      </c>
    </row>
    <row r="275" spans="1:11" x14ac:dyDescent="0.35">
      <c r="A275" s="3" t="str">
        <f>"12-12-6"</f>
        <v>12-12-6</v>
      </c>
      <c r="B275" s="3"/>
      <c r="C275" s="3" t="s">
        <v>1167</v>
      </c>
      <c r="D275" s="3" t="s">
        <v>229</v>
      </c>
      <c r="E275" s="3" t="s">
        <v>230</v>
      </c>
      <c r="F275" s="3" t="s">
        <v>1168</v>
      </c>
      <c r="G275" s="3" t="s">
        <v>930</v>
      </c>
      <c r="H275" s="3" t="s">
        <v>704</v>
      </c>
      <c r="I275" s="3" t="s">
        <v>705</v>
      </c>
      <c r="J275" s="3" t="s">
        <v>31</v>
      </c>
      <c r="K275" s="3" t="str">
        <f>"815-540-4733"</f>
        <v>815-540-4733</v>
      </c>
    </row>
    <row r="276" spans="1:11" x14ac:dyDescent="0.35">
      <c r="A276" s="3" t="str">
        <f>"14-14-15"</f>
        <v>14-14-15</v>
      </c>
      <c r="B276" s="3" t="s">
        <v>1246</v>
      </c>
      <c r="C276" s="3" t="s">
        <v>1247</v>
      </c>
      <c r="D276" s="3" t="s">
        <v>229</v>
      </c>
      <c r="E276" s="3" t="s">
        <v>230</v>
      </c>
      <c r="F276" s="3" t="s">
        <v>1248</v>
      </c>
      <c r="G276" s="3" t="s">
        <v>930</v>
      </c>
      <c r="H276" s="3" t="s">
        <v>704</v>
      </c>
      <c r="I276" s="3" t="s">
        <v>705</v>
      </c>
      <c r="J276" s="3" t="s">
        <v>31</v>
      </c>
      <c r="K276" s="3" t="str">
        <f>"815-540-4733"</f>
        <v>815-540-4733</v>
      </c>
    </row>
    <row r="277" spans="1:11" x14ac:dyDescent="0.35">
      <c r="A277" s="3" t="str">
        <f>"10-10-14"</f>
        <v>10-10-14</v>
      </c>
      <c r="B277" s="3" t="s">
        <v>927</v>
      </c>
      <c r="C277" s="3" t="s">
        <v>928</v>
      </c>
      <c r="D277" s="3" t="s">
        <v>166</v>
      </c>
      <c r="E277" s="3" t="s">
        <v>167</v>
      </c>
      <c r="F277" s="3" t="s">
        <v>929</v>
      </c>
      <c r="G277" s="3" t="s">
        <v>930</v>
      </c>
      <c r="H277" s="3" t="s">
        <v>704</v>
      </c>
      <c r="I277" s="3" t="s">
        <v>705</v>
      </c>
      <c r="J277" s="3" t="s">
        <v>31</v>
      </c>
      <c r="K277" s="3" t="str">
        <f>"815-540-4733"</f>
        <v>815-540-4733</v>
      </c>
    </row>
    <row r="278" spans="1:11" x14ac:dyDescent="0.35">
      <c r="A278" s="3" t="str">
        <f>"16-35"</f>
        <v>16-35</v>
      </c>
      <c r="B278" s="3"/>
      <c r="C278" s="3" t="s">
        <v>1394</v>
      </c>
      <c r="D278" s="3" t="s">
        <v>159</v>
      </c>
      <c r="E278" s="3" t="s">
        <v>160</v>
      </c>
      <c r="F278" s="3" t="s">
        <v>1395</v>
      </c>
      <c r="G278" s="3" t="s">
        <v>162</v>
      </c>
      <c r="H278" s="3" t="s">
        <v>161</v>
      </c>
      <c r="I278" s="3" t="s">
        <v>162</v>
      </c>
      <c r="J278" s="3" t="s">
        <v>31</v>
      </c>
      <c r="K278" s="3" t="str">
        <f>"515-244-8308"</f>
        <v>515-244-8308</v>
      </c>
    </row>
    <row r="279" spans="1:11" x14ac:dyDescent="0.35">
      <c r="A279" s="3" t="s">
        <v>1396</v>
      </c>
      <c r="B279" s="3"/>
      <c r="C279" s="3" t="s">
        <v>1394</v>
      </c>
      <c r="D279" s="3" t="s">
        <v>159</v>
      </c>
      <c r="E279" s="3" t="s">
        <v>160</v>
      </c>
      <c r="F279" s="3" t="s">
        <v>1395</v>
      </c>
      <c r="G279" s="3" t="s">
        <v>162</v>
      </c>
      <c r="H279" s="3" t="s">
        <v>161</v>
      </c>
      <c r="I279" s="3" t="s">
        <v>162</v>
      </c>
      <c r="J279" s="3" t="s">
        <v>31</v>
      </c>
      <c r="K279" s="3" t="str">
        <f>"515-244-8308"</f>
        <v>515-244-8308</v>
      </c>
    </row>
    <row r="280" spans="1:11" x14ac:dyDescent="0.35">
      <c r="A280" s="3" t="str">
        <f>"91-36"</f>
        <v>91-36</v>
      </c>
      <c r="B280" s="3"/>
      <c r="C280" s="3" t="s">
        <v>1582</v>
      </c>
      <c r="D280" s="3" t="s">
        <v>1583</v>
      </c>
      <c r="E280" s="3" t="s">
        <v>1584</v>
      </c>
      <c r="F280" s="3" t="s">
        <v>1585</v>
      </c>
      <c r="G280" s="3" t="s">
        <v>108</v>
      </c>
      <c r="H280" s="3" t="s">
        <v>83</v>
      </c>
      <c r="I280" s="3" t="s">
        <v>84</v>
      </c>
      <c r="J280" s="3" t="s">
        <v>87</v>
      </c>
      <c r="K280" s="3" t="str">
        <f>"712-580-5360"</f>
        <v>712-580-5360</v>
      </c>
    </row>
    <row r="281" spans="1:11" x14ac:dyDescent="0.35">
      <c r="A281" s="3" t="str">
        <f>"12-12-5"</f>
        <v>12-12-5</v>
      </c>
      <c r="B281" s="3"/>
      <c r="C281" s="3" t="s">
        <v>1159</v>
      </c>
      <c r="D281" s="3" t="s">
        <v>52</v>
      </c>
      <c r="E281" s="3" t="s">
        <v>38</v>
      </c>
      <c r="F281" s="3" t="s">
        <v>1152</v>
      </c>
      <c r="G281" s="3" t="s">
        <v>42</v>
      </c>
      <c r="H281" s="3" t="s">
        <v>39</v>
      </c>
      <c r="I281" s="3" t="s">
        <v>40</v>
      </c>
      <c r="J281" s="3" t="s">
        <v>44</v>
      </c>
      <c r="K281" s="3" t="str">
        <f>"515-262-5965"</f>
        <v>515-262-5965</v>
      </c>
    </row>
    <row r="282" spans="1:11" x14ac:dyDescent="0.35">
      <c r="A282" s="3" t="str">
        <f>"00-22"</f>
        <v>00-22</v>
      </c>
      <c r="B282" s="3" t="s">
        <v>55</v>
      </c>
      <c r="C282" s="3" t="s">
        <v>56</v>
      </c>
      <c r="D282" s="3" t="s">
        <v>57</v>
      </c>
      <c r="E282" s="3" t="s">
        <v>58</v>
      </c>
      <c r="F282" s="3" t="s">
        <v>61</v>
      </c>
      <c r="G282" s="3" t="s">
        <v>62</v>
      </c>
      <c r="H282" s="3" t="s">
        <v>59</v>
      </c>
      <c r="I282" s="3" t="s">
        <v>60</v>
      </c>
      <c r="J282" s="3" t="s">
        <v>44</v>
      </c>
      <c r="K282" s="3" t="str">
        <f>"319-338-7600"</f>
        <v>319-338-7600</v>
      </c>
    </row>
    <row r="283" spans="1:11" x14ac:dyDescent="0.35">
      <c r="A283" s="3" t="s">
        <v>2054</v>
      </c>
      <c r="B283" s="3" t="s">
        <v>2054</v>
      </c>
      <c r="C283" s="3" t="s">
        <v>2055</v>
      </c>
      <c r="D283" s="3" t="s">
        <v>1591</v>
      </c>
      <c r="E283" s="3" t="s">
        <v>1497</v>
      </c>
      <c r="F283" s="3" t="s">
        <v>2056</v>
      </c>
      <c r="G283" s="3" t="s">
        <v>2058</v>
      </c>
      <c r="H283" s="3" t="s">
        <v>2056</v>
      </c>
      <c r="I283" s="3" t="s">
        <v>2057</v>
      </c>
      <c r="J283" s="3" t="s">
        <v>87</v>
      </c>
      <c r="K283" s="3" t="str">
        <f>"319-292-1877"</f>
        <v>319-292-1877</v>
      </c>
    </row>
    <row r="284" spans="1:11" x14ac:dyDescent="0.35">
      <c r="A284" s="3" t="str">
        <f>"17-12"</f>
        <v>17-12</v>
      </c>
      <c r="B284" s="3"/>
      <c r="C284" s="3" t="s">
        <v>1412</v>
      </c>
      <c r="D284" s="3" t="s">
        <v>159</v>
      </c>
      <c r="E284" s="3" t="s">
        <v>160</v>
      </c>
      <c r="F284" s="3" t="s">
        <v>1413</v>
      </c>
      <c r="G284" s="3"/>
      <c r="H284" s="3" t="s">
        <v>1405</v>
      </c>
      <c r="I284" s="3" t="s">
        <v>1140</v>
      </c>
      <c r="J284" s="3" t="s">
        <v>78</v>
      </c>
      <c r="K284" s="3"/>
    </row>
    <row r="285" spans="1:11" x14ac:dyDescent="0.35">
      <c r="A285" s="3" t="str">
        <f>"09-0913"</f>
        <v>09-0913</v>
      </c>
      <c r="B285" s="3" t="s">
        <v>851</v>
      </c>
      <c r="C285" s="3" t="s">
        <v>852</v>
      </c>
      <c r="D285" s="3" t="s">
        <v>166</v>
      </c>
      <c r="E285" s="3" t="s">
        <v>167</v>
      </c>
      <c r="F285" s="3" t="s">
        <v>853</v>
      </c>
      <c r="G285" s="3" t="s">
        <v>316</v>
      </c>
      <c r="H285" s="3" t="s">
        <v>313</v>
      </c>
      <c r="I285" s="3" t="s">
        <v>314</v>
      </c>
      <c r="J285" s="3" t="s">
        <v>87</v>
      </c>
      <c r="K285" s="3" t="str">
        <f>"414-395-4980"</f>
        <v>414-395-4980</v>
      </c>
    </row>
    <row r="286" spans="1:11" x14ac:dyDescent="0.35">
      <c r="A286" s="3" t="s">
        <v>1112</v>
      </c>
      <c r="B286" s="3" t="s">
        <v>1112</v>
      </c>
      <c r="C286" s="3" t="s">
        <v>1113</v>
      </c>
      <c r="D286" s="3" t="s">
        <v>1114</v>
      </c>
      <c r="E286" s="3" t="s">
        <v>1115</v>
      </c>
      <c r="F286" s="3" t="s">
        <v>1116</v>
      </c>
      <c r="G286" s="3" t="s">
        <v>1117</v>
      </c>
      <c r="H286" s="3" t="s">
        <v>1116</v>
      </c>
      <c r="I286" s="3" t="s">
        <v>1117</v>
      </c>
      <c r="J286" s="3" t="s">
        <v>16</v>
      </c>
      <c r="K286" s="3" t="str">
        <f>"641-426-0673"</f>
        <v>641-426-0673</v>
      </c>
    </row>
    <row r="287" spans="1:11" x14ac:dyDescent="0.35">
      <c r="A287" s="3" t="str">
        <f>"13-13-30"</f>
        <v>13-13-30</v>
      </c>
      <c r="B287" s="3"/>
      <c r="C287" s="3" t="s">
        <v>1204</v>
      </c>
      <c r="D287" s="3" t="s">
        <v>159</v>
      </c>
      <c r="E287" s="3" t="s">
        <v>160</v>
      </c>
      <c r="F287" s="3" t="s">
        <v>1205</v>
      </c>
      <c r="G287" s="3" t="s">
        <v>998</v>
      </c>
      <c r="H287" s="3" t="s">
        <v>704</v>
      </c>
      <c r="I287" s="3" t="s">
        <v>705</v>
      </c>
      <c r="J287" s="3" t="s">
        <v>31</v>
      </c>
      <c r="K287" s="3" t="str">
        <f>"816-561-1033"</f>
        <v>816-561-1033</v>
      </c>
    </row>
    <row r="288" spans="1:11" x14ac:dyDescent="0.35">
      <c r="A288" s="3" t="str">
        <f>"91-33"</f>
        <v>91-33</v>
      </c>
      <c r="B288" s="3"/>
      <c r="C288" s="3" t="s">
        <v>1580</v>
      </c>
      <c r="D288" s="3" t="s">
        <v>159</v>
      </c>
      <c r="E288" s="3" t="s">
        <v>160</v>
      </c>
      <c r="F288" s="3" t="s">
        <v>1581</v>
      </c>
      <c r="G288" s="3" t="s">
        <v>1581</v>
      </c>
      <c r="H288" s="3" t="s">
        <v>1581</v>
      </c>
      <c r="I288" s="3" t="s">
        <v>1581</v>
      </c>
      <c r="J288" s="3" t="s">
        <v>44</v>
      </c>
      <c r="K288" s="3" t="str">
        <f>"515-229-8003"</f>
        <v>515-229-8003</v>
      </c>
    </row>
    <row r="289" spans="1:11" x14ac:dyDescent="0.35">
      <c r="A289" s="3" t="str">
        <f>"01-23"</f>
        <v>01-23</v>
      </c>
      <c r="B289" s="3"/>
      <c r="C289" s="3" t="s">
        <v>152</v>
      </c>
      <c r="D289" s="3" t="s">
        <v>70</v>
      </c>
      <c r="E289" s="3" t="s">
        <v>71</v>
      </c>
      <c r="F289" s="3" t="s">
        <v>155</v>
      </c>
      <c r="G289" s="3" t="s">
        <v>156</v>
      </c>
      <c r="H289" s="3" t="s">
        <v>153</v>
      </c>
      <c r="I289" s="3" t="s">
        <v>154</v>
      </c>
      <c r="J289" s="3" t="s">
        <v>31</v>
      </c>
      <c r="K289" s="3" t="str">
        <f>"319-524-1052"</f>
        <v>319-524-1052</v>
      </c>
    </row>
    <row r="290" spans="1:11" x14ac:dyDescent="0.35">
      <c r="A290" s="3" t="str">
        <f>"08-07"</f>
        <v>08-07</v>
      </c>
      <c r="B290" s="3" t="s">
        <v>775</v>
      </c>
      <c r="C290" s="3" t="s">
        <v>776</v>
      </c>
      <c r="D290" s="3" t="s">
        <v>772</v>
      </c>
      <c r="E290" s="3" t="s">
        <v>773</v>
      </c>
      <c r="F290" s="3" t="s">
        <v>777</v>
      </c>
      <c r="G290" s="3" t="s">
        <v>42</v>
      </c>
      <c r="H290" s="3" t="s">
        <v>39</v>
      </c>
      <c r="I290" s="3" t="s">
        <v>40</v>
      </c>
      <c r="J290" s="3" t="s">
        <v>44</v>
      </c>
      <c r="K290" s="3" t="str">
        <f>"515-262-5965"</f>
        <v>515-262-5965</v>
      </c>
    </row>
    <row r="291" spans="1:11" x14ac:dyDescent="0.35">
      <c r="A291" s="3" t="str">
        <f>"03-26"</f>
        <v>03-26</v>
      </c>
      <c r="B291" s="3" t="s">
        <v>340</v>
      </c>
      <c r="C291" s="3" t="s">
        <v>341</v>
      </c>
      <c r="D291" s="3" t="s">
        <v>173</v>
      </c>
      <c r="E291" s="3" t="s">
        <v>174</v>
      </c>
      <c r="F291" s="3" t="s">
        <v>342</v>
      </c>
      <c r="G291" s="3" t="s">
        <v>343</v>
      </c>
      <c r="H291" s="3" t="s">
        <v>83</v>
      </c>
      <c r="I291" s="3" t="s">
        <v>84</v>
      </c>
      <c r="J291" s="3" t="s">
        <v>87</v>
      </c>
      <c r="K291" s="3" t="str">
        <f>"563-459-4507"</f>
        <v>563-459-4507</v>
      </c>
    </row>
    <row r="292" spans="1:11" x14ac:dyDescent="0.35">
      <c r="A292" s="3" t="str">
        <f>"08-0935"</f>
        <v>08-0935</v>
      </c>
      <c r="B292" s="3" t="s">
        <v>816</v>
      </c>
      <c r="C292" s="3" t="s">
        <v>817</v>
      </c>
      <c r="D292" s="3" t="s">
        <v>110</v>
      </c>
      <c r="E292" s="3" t="s">
        <v>111</v>
      </c>
      <c r="F292" s="3" t="s">
        <v>818</v>
      </c>
      <c r="G292" s="3" t="s">
        <v>42</v>
      </c>
      <c r="H292" s="3" t="s">
        <v>39</v>
      </c>
      <c r="I292" s="3" t="s">
        <v>40</v>
      </c>
      <c r="J292" s="3" t="s">
        <v>44</v>
      </c>
      <c r="K292" s="3" t="str">
        <f>"515-262-5965"</f>
        <v>515-262-5965</v>
      </c>
    </row>
    <row r="293" spans="1:11" x14ac:dyDescent="0.35">
      <c r="A293" s="3" t="str">
        <f>"98-61"</f>
        <v>98-61</v>
      </c>
      <c r="B293" s="3" t="s">
        <v>1958</v>
      </c>
      <c r="C293" s="3" t="s">
        <v>1959</v>
      </c>
      <c r="D293" s="3" t="s">
        <v>81</v>
      </c>
      <c r="E293" s="3" t="s">
        <v>82</v>
      </c>
      <c r="F293" s="3" t="s">
        <v>1960</v>
      </c>
      <c r="G293" s="3" t="s">
        <v>86</v>
      </c>
      <c r="H293" s="3" t="s">
        <v>83</v>
      </c>
      <c r="I293" s="3" t="s">
        <v>84</v>
      </c>
      <c r="J293" s="3" t="s">
        <v>87</v>
      </c>
      <c r="K293" s="3" t="str">
        <f>"602-200-5660"</f>
        <v>602-200-5660</v>
      </c>
    </row>
    <row r="294" spans="1:11" x14ac:dyDescent="0.35">
      <c r="A294" s="3" t="str">
        <f>"01-25"</f>
        <v>01-25</v>
      </c>
      <c r="B294" s="3" t="s">
        <v>157</v>
      </c>
      <c r="C294" s="3" t="s">
        <v>158</v>
      </c>
      <c r="D294" s="3" t="s">
        <v>159</v>
      </c>
      <c r="E294" s="3" t="s">
        <v>160</v>
      </c>
      <c r="F294" s="3" t="s">
        <v>163</v>
      </c>
      <c r="G294" s="3" t="s">
        <v>164</v>
      </c>
      <c r="H294" s="3" t="s">
        <v>161</v>
      </c>
      <c r="I294" s="3" t="s">
        <v>162</v>
      </c>
      <c r="J294" s="3" t="s">
        <v>31</v>
      </c>
      <c r="K294" s="3" t="str">
        <f>"515-222-1932"</f>
        <v>515-222-1932</v>
      </c>
    </row>
    <row r="295" spans="1:11" x14ac:dyDescent="0.35">
      <c r="A295" s="4" t="str">
        <f>"99-53"</f>
        <v>99-53</v>
      </c>
      <c r="B295" s="4"/>
      <c r="C295" s="4" t="s">
        <v>2026</v>
      </c>
      <c r="D295" s="4" t="s">
        <v>265</v>
      </c>
      <c r="E295" s="4" t="s">
        <v>111</v>
      </c>
      <c r="F295" s="4" t="s">
        <v>2027</v>
      </c>
      <c r="G295" s="4" t="s">
        <v>247</v>
      </c>
      <c r="H295" s="4" t="s">
        <v>246</v>
      </c>
      <c r="I295" s="4" t="s">
        <v>247</v>
      </c>
      <c r="J295" s="4" t="s">
        <v>2064</v>
      </c>
      <c r="K295" s="4" t="str">
        <f>"262-790-4560"</f>
        <v>262-790-4560</v>
      </c>
    </row>
    <row r="296" spans="1:11" x14ac:dyDescent="0.35">
      <c r="A296" s="3" t="str">
        <f>"97-18"</f>
        <v>97-18</v>
      </c>
      <c r="B296" s="3" t="s">
        <v>1842</v>
      </c>
      <c r="C296" s="3" t="s">
        <v>1843</v>
      </c>
      <c r="D296" s="3" t="s">
        <v>758</v>
      </c>
      <c r="E296" s="3" t="s">
        <v>270</v>
      </c>
      <c r="F296" s="3" t="s">
        <v>1844</v>
      </c>
      <c r="G296" s="3" t="s">
        <v>247</v>
      </c>
      <c r="H296" s="3" t="s">
        <v>246</v>
      </c>
      <c r="I296" s="3" t="s">
        <v>247</v>
      </c>
      <c r="J296" s="3" t="s">
        <v>16</v>
      </c>
      <c r="K296" s="3" t="str">
        <f>"262-790-4560"</f>
        <v>262-790-4560</v>
      </c>
    </row>
    <row r="297" spans="1:11" x14ac:dyDescent="0.35">
      <c r="A297" s="3" t="str">
        <f>"91-19"</f>
        <v>91-19</v>
      </c>
      <c r="B297" s="3"/>
      <c r="C297" s="3" t="s">
        <v>1563</v>
      </c>
      <c r="D297" s="3" t="s">
        <v>1509</v>
      </c>
      <c r="E297" s="3" t="s">
        <v>1510</v>
      </c>
      <c r="F297" s="3" t="s">
        <v>1511</v>
      </c>
      <c r="G297" s="3" t="s">
        <v>1564</v>
      </c>
      <c r="H297" s="3" t="s">
        <v>1564</v>
      </c>
      <c r="I297" s="3" t="s">
        <v>1564</v>
      </c>
      <c r="J297" s="3" t="s">
        <v>87</v>
      </c>
      <c r="K297" s="3" t="str">
        <f>"563-922-2355"</f>
        <v>563-922-2355</v>
      </c>
    </row>
    <row r="298" spans="1:11" x14ac:dyDescent="0.35">
      <c r="A298" s="3" t="str">
        <f>"90-35"</f>
        <v>90-35</v>
      </c>
      <c r="B298" s="3"/>
      <c r="C298" s="3" t="s">
        <v>1508</v>
      </c>
      <c r="D298" s="3" t="s">
        <v>1509</v>
      </c>
      <c r="E298" s="3" t="s">
        <v>1510</v>
      </c>
      <c r="F298" s="3" t="s">
        <v>1511</v>
      </c>
      <c r="G298" s="3" t="s">
        <v>108</v>
      </c>
      <c r="H298" s="3" t="s">
        <v>105</v>
      </c>
      <c r="I298" s="3" t="s">
        <v>106</v>
      </c>
      <c r="J298" s="3" t="s">
        <v>87</v>
      </c>
      <c r="K298" s="3" t="str">
        <f>"712-240-2188"</f>
        <v>712-240-2188</v>
      </c>
    </row>
    <row r="299" spans="1:11" x14ac:dyDescent="0.35">
      <c r="A299" s="3" t="str">
        <f>"90-48"</f>
        <v>90-48</v>
      </c>
      <c r="B299" s="3"/>
      <c r="C299" s="3" t="s">
        <v>1518</v>
      </c>
      <c r="D299" s="3" t="s">
        <v>1519</v>
      </c>
      <c r="E299" s="3" t="s">
        <v>1053</v>
      </c>
      <c r="F299" s="3" t="s">
        <v>1520</v>
      </c>
      <c r="G299" s="3" t="s">
        <v>1521</v>
      </c>
      <c r="H299" s="3" t="s">
        <v>105</v>
      </c>
      <c r="I299" s="3" t="s">
        <v>106</v>
      </c>
      <c r="J299" s="3" t="s">
        <v>87</v>
      </c>
      <c r="K299" s="3" t="str">
        <f>"712-363-5430"</f>
        <v>712-363-5430</v>
      </c>
    </row>
    <row r="300" spans="1:11" x14ac:dyDescent="0.35">
      <c r="A300" s="4" t="str">
        <f>"01-45"</f>
        <v>01-45</v>
      </c>
      <c r="B300" s="4"/>
      <c r="C300" s="4" t="s">
        <v>187</v>
      </c>
      <c r="D300" s="4" t="s">
        <v>188</v>
      </c>
      <c r="E300" s="4" t="s">
        <v>82</v>
      </c>
      <c r="F300" s="4" t="s">
        <v>191</v>
      </c>
      <c r="G300" s="4" t="s">
        <v>192</v>
      </c>
      <c r="H300" s="4" t="s">
        <v>189</v>
      </c>
      <c r="I300" s="4" t="s">
        <v>190</v>
      </c>
      <c r="J300" s="4" t="s">
        <v>2063</v>
      </c>
      <c r="K300" s="4" t="str">
        <f>"314-335-2890"</f>
        <v>314-335-2890</v>
      </c>
    </row>
    <row r="301" spans="1:11" x14ac:dyDescent="0.35">
      <c r="A301" s="3" t="str">
        <f>"02-29"</f>
        <v>02-29</v>
      </c>
      <c r="B301" s="3" t="s">
        <v>275</v>
      </c>
      <c r="C301" s="3" t="s">
        <v>276</v>
      </c>
      <c r="D301" s="3" t="s">
        <v>159</v>
      </c>
      <c r="E301" s="3" t="s">
        <v>160</v>
      </c>
      <c r="F301" s="3" t="s">
        <v>277</v>
      </c>
      <c r="G301" s="3" t="s">
        <v>274</v>
      </c>
      <c r="H301" s="3" t="s">
        <v>83</v>
      </c>
      <c r="I301" s="3" t="s">
        <v>84</v>
      </c>
      <c r="J301" s="3" t="s">
        <v>87</v>
      </c>
      <c r="K301" s="3" t="str">
        <f>"712-546-6003"</f>
        <v>712-546-6003</v>
      </c>
    </row>
    <row r="302" spans="1:11" x14ac:dyDescent="0.35">
      <c r="A302" s="4" t="str">
        <f>"95-33"</f>
        <v>95-33</v>
      </c>
      <c r="B302" s="4" t="s">
        <v>1759</v>
      </c>
      <c r="C302" s="4" t="s">
        <v>1760</v>
      </c>
      <c r="D302" s="4" t="s">
        <v>1761</v>
      </c>
      <c r="E302" s="4" t="s">
        <v>729</v>
      </c>
      <c r="F302" s="4" t="s">
        <v>1762</v>
      </c>
      <c r="G302" s="4" t="s">
        <v>1763</v>
      </c>
      <c r="H302" s="4" t="s">
        <v>246</v>
      </c>
      <c r="I302" s="4" t="s">
        <v>247</v>
      </c>
      <c r="J302" s="4" t="s">
        <v>2063</v>
      </c>
      <c r="K302" s="4" t="str">
        <f>"262-790-4560"</f>
        <v>262-790-4560</v>
      </c>
    </row>
    <row r="303" spans="1:11" x14ac:dyDescent="0.35">
      <c r="A303" s="3" t="str">
        <f>"95-12"</f>
        <v>95-12</v>
      </c>
      <c r="B303" s="3" t="s">
        <v>1747</v>
      </c>
      <c r="C303" s="3" t="s">
        <v>1748</v>
      </c>
      <c r="D303" s="3" t="s">
        <v>1749</v>
      </c>
      <c r="E303" s="3" t="s">
        <v>1750</v>
      </c>
      <c r="F303" s="3" t="s">
        <v>1751</v>
      </c>
      <c r="G303" s="3" t="s">
        <v>62</v>
      </c>
      <c r="H303" s="3" t="s">
        <v>59</v>
      </c>
      <c r="I303" s="3" t="s">
        <v>60</v>
      </c>
      <c r="J303" s="3" t="s">
        <v>44</v>
      </c>
      <c r="K303" s="3" t="str">
        <f>"319-338-7600"</f>
        <v>319-338-7600</v>
      </c>
    </row>
    <row r="304" spans="1:11" x14ac:dyDescent="0.35">
      <c r="A304" s="3" t="str">
        <f>"98-10"</f>
        <v>98-10</v>
      </c>
      <c r="B304" s="3" t="s">
        <v>1907</v>
      </c>
      <c r="C304" s="3" t="s">
        <v>1908</v>
      </c>
      <c r="D304" s="3" t="s">
        <v>1909</v>
      </c>
      <c r="E304" s="3" t="s">
        <v>1252</v>
      </c>
      <c r="F304" s="3" t="s">
        <v>1910</v>
      </c>
      <c r="G304" s="3" t="s">
        <v>42</v>
      </c>
      <c r="H304" s="3" t="s">
        <v>39</v>
      </c>
      <c r="I304" s="3" t="s">
        <v>40</v>
      </c>
      <c r="J304" s="3" t="s">
        <v>44</v>
      </c>
      <c r="K304" s="3" t="str">
        <f>"515-262-5965"</f>
        <v>515-262-5965</v>
      </c>
    </row>
    <row r="305" spans="1:11" x14ac:dyDescent="0.35">
      <c r="A305" s="3" t="str">
        <f>"93-23"</f>
        <v>93-23</v>
      </c>
      <c r="B305" s="3"/>
      <c r="C305" s="3" t="s">
        <v>1661</v>
      </c>
      <c r="D305" s="3" t="s">
        <v>1662</v>
      </c>
      <c r="E305" s="3" t="s">
        <v>1615</v>
      </c>
      <c r="F305" s="3" t="s">
        <v>1663</v>
      </c>
      <c r="G305" s="3" t="s">
        <v>108</v>
      </c>
      <c r="H305" s="3" t="s">
        <v>105</v>
      </c>
      <c r="I305" s="3" t="s">
        <v>106</v>
      </c>
      <c r="J305" s="3" t="s">
        <v>87</v>
      </c>
      <c r="K305" s="3" t="str">
        <f>"712-240-2188"</f>
        <v>712-240-2188</v>
      </c>
    </row>
    <row r="306" spans="1:11" x14ac:dyDescent="0.35">
      <c r="A306" s="3" t="str">
        <f>"10-10-255"</f>
        <v>10-10-255</v>
      </c>
      <c r="B306" s="3"/>
      <c r="C306" s="3" t="s">
        <v>984</v>
      </c>
      <c r="D306" s="3" t="s">
        <v>985</v>
      </c>
      <c r="E306" s="3" t="s">
        <v>986</v>
      </c>
      <c r="F306" s="3" t="s">
        <v>987</v>
      </c>
      <c r="G306" s="3" t="s">
        <v>988</v>
      </c>
      <c r="H306" s="3" t="s">
        <v>105</v>
      </c>
      <c r="I306" s="3" t="s">
        <v>106</v>
      </c>
      <c r="J306" s="3" t="s">
        <v>87</v>
      </c>
      <c r="K306" s="3" t="str">
        <f>"515-223-1113"</f>
        <v>515-223-1113</v>
      </c>
    </row>
    <row r="307" spans="1:11" x14ac:dyDescent="0.35">
      <c r="A307" s="3" t="str">
        <f>"10-10-259"</f>
        <v>10-10-259</v>
      </c>
      <c r="B307" s="3"/>
      <c r="C307" s="3" t="s">
        <v>995</v>
      </c>
      <c r="D307" s="3" t="s">
        <v>985</v>
      </c>
      <c r="E307" s="3" t="s">
        <v>986</v>
      </c>
      <c r="F307" s="3" t="s">
        <v>987</v>
      </c>
      <c r="G307" s="3" t="s">
        <v>988</v>
      </c>
      <c r="H307" s="3" t="s">
        <v>105</v>
      </c>
      <c r="I307" s="3" t="s">
        <v>106</v>
      </c>
      <c r="J307" s="3" t="s">
        <v>87</v>
      </c>
      <c r="K307" s="3" t="str">
        <f>"515-223-1113"</f>
        <v>515-223-1113</v>
      </c>
    </row>
    <row r="308" spans="1:11" x14ac:dyDescent="0.35">
      <c r="A308" s="3" t="str">
        <f>"05-30"</f>
        <v>05-30</v>
      </c>
      <c r="B308" s="3"/>
      <c r="C308" s="3" t="s">
        <v>511</v>
      </c>
      <c r="D308" s="3" t="s">
        <v>159</v>
      </c>
      <c r="E308" s="3" t="s">
        <v>160</v>
      </c>
      <c r="F308" s="3" t="s">
        <v>512</v>
      </c>
      <c r="G308" s="3" t="s">
        <v>442</v>
      </c>
      <c r="H308" s="3" t="s">
        <v>439</v>
      </c>
      <c r="I308" s="3" t="s">
        <v>440</v>
      </c>
      <c r="J308" s="3" t="s">
        <v>87</v>
      </c>
      <c r="K308" s="3" t="str">
        <f>"515-280-2053"</f>
        <v>515-280-2053</v>
      </c>
    </row>
    <row r="309" spans="1:11" x14ac:dyDescent="0.35">
      <c r="A309" s="3" t="str">
        <f>"17-19"</f>
        <v>17-19</v>
      </c>
      <c r="B309" s="3"/>
      <c r="C309" s="3" t="s">
        <v>1420</v>
      </c>
      <c r="D309" s="3" t="s">
        <v>18</v>
      </c>
      <c r="E309" s="3" t="s">
        <v>19</v>
      </c>
      <c r="F309" s="3" t="s">
        <v>1421</v>
      </c>
      <c r="G309" s="3" t="s">
        <v>1226</v>
      </c>
      <c r="H309" s="3" t="s">
        <v>1139</v>
      </c>
      <c r="I309" s="3" t="s">
        <v>1140</v>
      </c>
      <c r="J309" s="3" t="s">
        <v>78</v>
      </c>
      <c r="K309" s="3" t="str">
        <f>"913-671-3300"</f>
        <v>913-671-3300</v>
      </c>
    </row>
    <row r="310" spans="1:11" x14ac:dyDescent="0.35">
      <c r="A310" s="3" t="str">
        <f>"98-14"</f>
        <v>98-14</v>
      </c>
      <c r="B310" s="3" t="s">
        <v>1918</v>
      </c>
      <c r="C310" s="3" t="s">
        <v>1919</v>
      </c>
      <c r="D310" s="3" t="s">
        <v>166</v>
      </c>
      <c r="E310" s="3" t="s">
        <v>167</v>
      </c>
      <c r="F310" s="3" t="s">
        <v>1920</v>
      </c>
      <c r="G310" s="3" t="s">
        <v>42</v>
      </c>
      <c r="H310" s="3" t="s">
        <v>39</v>
      </c>
      <c r="I310" s="3" t="s">
        <v>40</v>
      </c>
      <c r="J310" s="3" t="s">
        <v>44</v>
      </c>
      <c r="K310" s="3" t="str">
        <f>"515-262-5965"</f>
        <v>515-262-5965</v>
      </c>
    </row>
    <row r="311" spans="1:11" x14ac:dyDescent="0.35">
      <c r="A311" s="3" t="str">
        <f>"13-13-47"</f>
        <v>13-13-47</v>
      </c>
      <c r="B311" s="3"/>
      <c r="C311" s="3" t="s">
        <v>1224</v>
      </c>
      <c r="D311" s="3" t="s">
        <v>149</v>
      </c>
      <c r="E311" s="3" t="s">
        <v>150</v>
      </c>
      <c r="F311" s="3" t="s">
        <v>1225</v>
      </c>
      <c r="G311" s="3" t="s">
        <v>1226</v>
      </c>
      <c r="H311" s="3" t="s">
        <v>1139</v>
      </c>
      <c r="I311" s="3" t="s">
        <v>1140</v>
      </c>
      <c r="J311" s="3" t="s">
        <v>78</v>
      </c>
      <c r="K311" s="3" t="str">
        <f>"913-671-3300"</f>
        <v>913-671-3300</v>
      </c>
    </row>
    <row r="312" spans="1:11" x14ac:dyDescent="0.35">
      <c r="A312" s="3" t="str">
        <f>"98-25"</f>
        <v>98-25</v>
      </c>
      <c r="B312" s="3"/>
      <c r="C312" s="3" t="s">
        <v>1926</v>
      </c>
      <c r="D312" s="3" t="s">
        <v>149</v>
      </c>
      <c r="E312" s="3" t="s">
        <v>150</v>
      </c>
      <c r="F312" s="3" t="s">
        <v>1927</v>
      </c>
      <c r="G312" s="3" t="s">
        <v>247</v>
      </c>
      <c r="H312" s="3" t="s">
        <v>246</v>
      </c>
      <c r="I312" s="3" t="s">
        <v>247</v>
      </c>
      <c r="J312" s="3" t="s">
        <v>16</v>
      </c>
      <c r="K312" s="3" t="str">
        <f>"262-790-4560"</f>
        <v>262-790-4560</v>
      </c>
    </row>
    <row r="313" spans="1:11" x14ac:dyDescent="0.35">
      <c r="A313" s="3" t="str">
        <f>"90-07"</f>
        <v>90-07</v>
      </c>
      <c r="B313" s="3"/>
      <c r="C313" s="3" t="s">
        <v>1480</v>
      </c>
      <c r="D313" s="3" t="s">
        <v>18</v>
      </c>
      <c r="E313" s="3" t="s">
        <v>19</v>
      </c>
      <c r="F313" s="3" t="s">
        <v>1481</v>
      </c>
      <c r="G313" s="3" t="s">
        <v>1482</v>
      </c>
      <c r="H313" s="3" t="s">
        <v>1481</v>
      </c>
      <c r="I313" s="3" t="s">
        <v>1482</v>
      </c>
      <c r="J313" s="3" t="s">
        <v>87</v>
      </c>
      <c r="K313" s="3" t="str">
        <f>"563-556-1605"</f>
        <v>563-556-1605</v>
      </c>
    </row>
    <row r="314" spans="1:11" x14ac:dyDescent="0.35">
      <c r="A314" s="3" t="str">
        <f>"99-75"</f>
        <v>99-75</v>
      </c>
      <c r="B314" s="3"/>
      <c r="C314" s="3" t="s">
        <v>2045</v>
      </c>
      <c r="D314" s="3" t="s">
        <v>52</v>
      </c>
      <c r="E314" s="3" t="s">
        <v>38</v>
      </c>
      <c r="F314" s="3" t="s">
        <v>2046</v>
      </c>
      <c r="G314" s="3" t="s">
        <v>2044</v>
      </c>
      <c r="H314" s="3" t="s">
        <v>453</v>
      </c>
      <c r="I314" s="3" t="s">
        <v>454</v>
      </c>
      <c r="J314" s="3" t="s">
        <v>78</v>
      </c>
      <c r="K314" s="3" t="str">
        <f>"712-252-2201"</f>
        <v>712-252-2201</v>
      </c>
    </row>
    <row r="315" spans="1:11" x14ac:dyDescent="0.35">
      <c r="A315" s="3" t="str">
        <f>"03-09"</f>
        <v>03-09</v>
      </c>
      <c r="B315" s="3"/>
      <c r="C315" s="3" t="s">
        <v>304</v>
      </c>
      <c r="D315" s="3" t="s">
        <v>10</v>
      </c>
      <c r="E315" s="3" t="s">
        <v>11</v>
      </c>
      <c r="F315" s="3" t="s">
        <v>305</v>
      </c>
      <c r="G315" s="3" t="s">
        <v>34</v>
      </c>
      <c r="H315" s="3" t="s">
        <v>12</v>
      </c>
      <c r="I315" s="3" t="s">
        <v>13</v>
      </c>
      <c r="J315" s="3" t="s">
        <v>16</v>
      </c>
      <c r="K315" s="3" t="str">
        <f>"800-333-3509"</f>
        <v>800-333-3509</v>
      </c>
    </row>
    <row r="316" spans="1:11" x14ac:dyDescent="0.35">
      <c r="A316" s="3" t="str">
        <f>"04-11"</f>
        <v>04-11</v>
      </c>
      <c r="B316" s="3"/>
      <c r="C316" s="3" t="s">
        <v>387</v>
      </c>
      <c r="D316" s="3" t="s">
        <v>10</v>
      </c>
      <c r="E316" s="3" t="s">
        <v>11</v>
      </c>
      <c r="F316" s="3" t="s">
        <v>388</v>
      </c>
      <c r="G316" s="3" t="s">
        <v>34</v>
      </c>
      <c r="H316" s="3" t="s">
        <v>12</v>
      </c>
      <c r="I316" s="3" t="s">
        <v>13</v>
      </c>
      <c r="J316" s="3" t="s">
        <v>16</v>
      </c>
      <c r="K316" s="3" t="str">
        <f>"800-333-3509"</f>
        <v>800-333-3509</v>
      </c>
    </row>
    <row r="317" spans="1:11" x14ac:dyDescent="0.35">
      <c r="A317" s="3" t="str">
        <f>"04-09"</f>
        <v>04-09</v>
      </c>
      <c r="B317" s="3"/>
      <c r="C317" s="3" t="s">
        <v>385</v>
      </c>
      <c r="D317" s="3" t="s">
        <v>10</v>
      </c>
      <c r="E317" s="3" t="s">
        <v>11</v>
      </c>
      <c r="F317" s="3" t="s">
        <v>386</v>
      </c>
      <c r="G317" s="3" t="s">
        <v>34</v>
      </c>
      <c r="H317" s="3" t="s">
        <v>12</v>
      </c>
      <c r="I317" s="3" t="s">
        <v>13</v>
      </c>
      <c r="J317" s="3" t="s">
        <v>16</v>
      </c>
      <c r="K317" s="3" t="str">
        <f>"800-333-3509"</f>
        <v>800-333-3509</v>
      </c>
    </row>
    <row r="318" spans="1:11" x14ac:dyDescent="0.35">
      <c r="A318" s="3" t="str">
        <f>"06-33"</f>
        <v>06-33</v>
      </c>
      <c r="B318" s="3"/>
      <c r="C318" s="3" t="s">
        <v>620</v>
      </c>
      <c r="D318" s="3" t="s">
        <v>10</v>
      </c>
      <c r="E318" s="3" t="s">
        <v>11</v>
      </c>
      <c r="F318" s="3" t="s">
        <v>621</v>
      </c>
      <c r="G318" s="3" t="s">
        <v>15</v>
      </c>
      <c r="H318" s="3" t="s">
        <v>12</v>
      </c>
      <c r="I318" s="3" t="s">
        <v>13</v>
      </c>
      <c r="J318" s="3" t="s">
        <v>16</v>
      </c>
      <c r="K318" s="3" t="str">
        <f>"608-348-7755"</f>
        <v>608-348-7755</v>
      </c>
    </row>
    <row r="319" spans="1:11" x14ac:dyDescent="0.35">
      <c r="A319" s="3" t="str">
        <f>"00-01"</f>
        <v>00-01</v>
      </c>
      <c r="B319" s="3"/>
      <c r="C319" s="3" t="s">
        <v>9</v>
      </c>
      <c r="D319" s="3" t="s">
        <v>10</v>
      </c>
      <c r="E319" s="3" t="s">
        <v>11</v>
      </c>
      <c r="F319" s="3" t="s">
        <v>14</v>
      </c>
      <c r="G319" s="3" t="s">
        <v>15</v>
      </c>
      <c r="H319" s="3" t="s">
        <v>12</v>
      </c>
      <c r="I319" s="3" t="s">
        <v>13</v>
      </c>
      <c r="J319" s="3" t="s">
        <v>16</v>
      </c>
      <c r="K319" s="3" t="str">
        <f>"608-348-7755"</f>
        <v>608-348-7755</v>
      </c>
    </row>
    <row r="320" spans="1:11" x14ac:dyDescent="0.35">
      <c r="A320" s="3" t="str">
        <f>"05-16"</f>
        <v>05-16</v>
      </c>
      <c r="B320" s="3"/>
      <c r="C320" s="3" t="s">
        <v>485</v>
      </c>
      <c r="D320" s="3" t="s">
        <v>10</v>
      </c>
      <c r="E320" s="3" t="s">
        <v>11</v>
      </c>
      <c r="F320" s="3" t="s">
        <v>486</v>
      </c>
      <c r="G320" s="3" t="s">
        <v>15</v>
      </c>
      <c r="H320" s="3" t="s">
        <v>12</v>
      </c>
      <c r="I320" s="3" t="s">
        <v>13</v>
      </c>
      <c r="J320" s="3" t="s">
        <v>16</v>
      </c>
      <c r="K320" s="3" t="str">
        <f>"608-348-7755"</f>
        <v>608-348-7755</v>
      </c>
    </row>
    <row r="321" spans="1:11" x14ac:dyDescent="0.35">
      <c r="A321" s="3" t="str">
        <f>"06-40"</f>
        <v>06-40</v>
      </c>
      <c r="B321" s="3" t="s">
        <v>622</v>
      </c>
      <c r="C321" s="3" t="s">
        <v>623</v>
      </c>
      <c r="D321" s="3" t="s">
        <v>141</v>
      </c>
      <c r="E321" s="3" t="s">
        <v>142</v>
      </c>
      <c r="F321" s="3" t="s">
        <v>626</v>
      </c>
      <c r="G321" s="3" t="s">
        <v>627</v>
      </c>
      <c r="H321" s="3" t="s">
        <v>624</v>
      </c>
      <c r="I321" s="3" t="s">
        <v>625</v>
      </c>
      <c r="J321" s="3" t="s">
        <v>16</v>
      </c>
      <c r="K321" s="3" t="str">
        <f>"563-243-4065"</f>
        <v>563-243-4065</v>
      </c>
    </row>
    <row r="322" spans="1:11" x14ac:dyDescent="0.35">
      <c r="A322" s="3" t="str">
        <f>"99-71"</f>
        <v>99-71</v>
      </c>
      <c r="B322" s="3" t="s">
        <v>2037</v>
      </c>
      <c r="C322" s="3" t="s">
        <v>2038</v>
      </c>
      <c r="D322" s="3" t="s">
        <v>431</v>
      </c>
      <c r="E322" s="3" t="s">
        <v>230</v>
      </c>
      <c r="F322" s="3" t="s">
        <v>2040</v>
      </c>
      <c r="G322" s="3" t="s">
        <v>1923</v>
      </c>
      <c r="H322" s="3" t="s">
        <v>246</v>
      </c>
      <c r="I322" s="3" t="s">
        <v>2039</v>
      </c>
      <c r="J322" s="3" t="s">
        <v>16</v>
      </c>
      <c r="K322" s="3" t="str">
        <f>"262-790-4560"</f>
        <v>262-790-4560</v>
      </c>
    </row>
    <row r="323" spans="1:11" x14ac:dyDescent="0.35">
      <c r="A323" s="3" t="str">
        <f>"97-65"</f>
        <v>97-65</v>
      </c>
      <c r="B323" s="3"/>
      <c r="C323" s="3" t="s">
        <v>1881</v>
      </c>
      <c r="D323" s="3" t="s">
        <v>1882</v>
      </c>
      <c r="E323" s="3" t="s">
        <v>1883</v>
      </c>
      <c r="F323" s="3" t="s">
        <v>1884</v>
      </c>
      <c r="G323" s="3" t="s">
        <v>108</v>
      </c>
      <c r="H323" s="3" t="s">
        <v>105</v>
      </c>
      <c r="I323" s="3" t="s">
        <v>106</v>
      </c>
      <c r="J323" s="3" t="s">
        <v>87</v>
      </c>
      <c r="K323" s="3" t="str">
        <f>"712-240-2188"</f>
        <v>712-240-2188</v>
      </c>
    </row>
    <row r="324" spans="1:11" x14ac:dyDescent="0.35">
      <c r="A324" s="3" t="str">
        <f>"10-10-246"</f>
        <v>10-10-246</v>
      </c>
      <c r="B324" s="3"/>
      <c r="C324" s="3" t="s">
        <v>976</v>
      </c>
      <c r="D324" s="3" t="s">
        <v>959</v>
      </c>
      <c r="E324" s="3" t="s">
        <v>160</v>
      </c>
      <c r="F324" s="3" t="s">
        <v>977</v>
      </c>
      <c r="G324" s="3" t="s">
        <v>963</v>
      </c>
      <c r="H324" s="3" t="s">
        <v>960</v>
      </c>
      <c r="I324" s="3" t="s">
        <v>961</v>
      </c>
      <c r="J324" s="3" t="s">
        <v>78</v>
      </c>
      <c r="K324" s="3" t="str">
        <f>"513-964-1140"</f>
        <v>513-964-1140</v>
      </c>
    </row>
    <row r="325" spans="1:11" x14ac:dyDescent="0.35">
      <c r="A325" s="3" t="str">
        <f>"10-10-236"</f>
        <v>10-10-236</v>
      </c>
      <c r="B325" s="3"/>
      <c r="C325" s="3" t="s">
        <v>958</v>
      </c>
      <c r="D325" s="3" t="s">
        <v>959</v>
      </c>
      <c r="E325" s="3" t="s">
        <v>160</v>
      </c>
      <c r="F325" s="3" t="s">
        <v>962</v>
      </c>
      <c r="G325" s="3" t="s">
        <v>963</v>
      </c>
      <c r="H325" s="3" t="s">
        <v>960</v>
      </c>
      <c r="I325" s="3" t="s">
        <v>961</v>
      </c>
      <c r="J325" s="3" t="s">
        <v>78</v>
      </c>
      <c r="K325" s="3" t="str">
        <f>"513-964-1140"</f>
        <v>513-964-1140</v>
      </c>
    </row>
    <row r="326" spans="1:11" x14ac:dyDescent="0.35">
      <c r="A326" s="4" t="str">
        <f>"97-43"</f>
        <v>97-43</v>
      </c>
      <c r="B326" s="4" t="s">
        <v>1858</v>
      </c>
      <c r="C326" s="4" t="s">
        <v>1859</v>
      </c>
      <c r="D326" s="4" t="s">
        <v>65</v>
      </c>
      <c r="E326" s="4" t="s">
        <v>66</v>
      </c>
      <c r="F326" s="4" t="s">
        <v>1860</v>
      </c>
      <c r="G326" s="4" t="s">
        <v>247</v>
      </c>
      <c r="H326" s="4" t="s">
        <v>246</v>
      </c>
      <c r="I326" s="4" t="s">
        <v>247</v>
      </c>
      <c r="J326" s="4" t="s">
        <v>2064</v>
      </c>
      <c r="K326" s="4" t="str">
        <f>"262-790-4560"</f>
        <v>262-790-4560</v>
      </c>
    </row>
    <row r="327" spans="1:11" x14ac:dyDescent="0.35">
      <c r="A327" s="3" t="str">
        <f>"99-68"</f>
        <v>99-68</v>
      </c>
      <c r="B327" s="3" t="s">
        <v>2032</v>
      </c>
      <c r="C327" s="3" t="s">
        <v>2033</v>
      </c>
      <c r="D327" s="3" t="s">
        <v>65</v>
      </c>
      <c r="E327" s="3" t="s">
        <v>66</v>
      </c>
      <c r="F327" s="3" t="s">
        <v>1860</v>
      </c>
      <c r="G327" s="3" t="s">
        <v>247</v>
      </c>
      <c r="H327" s="3" t="s">
        <v>246</v>
      </c>
      <c r="I327" s="3" t="s">
        <v>247</v>
      </c>
      <c r="J327" s="3" t="s">
        <v>16</v>
      </c>
      <c r="K327" s="3" t="str">
        <f>"262-790-4560"</f>
        <v>262-790-4560</v>
      </c>
    </row>
    <row r="328" spans="1:11" x14ac:dyDescent="0.35">
      <c r="A328" s="3" t="str">
        <f>"93-28"</f>
        <v>93-28</v>
      </c>
      <c r="B328" s="3"/>
      <c r="C328" s="3" t="s">
        <v>1672</v>
      </c>
      <c r="D328" s="3" t="s">
        <v>772</v>
      </c>
      <c r="E328" s="3" t="s">
        <v>773</v>
      </c>
      <c r="F328" s="3" t="s">
        <v>1673</v>
      </c>
      <c r="G328" s="3" t="s">
        <v>108</v>
      </c>
      <c r="H328" s="3" t="s">
        <v>83</v>
      </c>
      <c r="I328" s="3" t="s">
        <v>84</v>
      </c>
      <c r="J328" s="3" t="s">
        <v>87</v>
      </c>
      <c r="K328" s="3" t="str">
        <f>"712-580-5360"</f>
        <v>712-580-5360</v>
      </c>
    </row>
    <row r="329" spans="1:11" x14ac:dyDescent="0.35">
      <c r="A329" s="3" t="str">
        <f>"12-12-10"</f>
        <v>12-12-10</v>
      </c>
      <c r="B329" s="3"/>
      <c r="C329" s="3" t="s">
        <v>1120</v>
      </c>
      <c r="D329" s="3" t="s">
        <v>1063</v>
      </c>
      <c r="E329" s="3" t="s">
        <v>160</v>
      </c>
      <c r="F329" s="3" t="s">
        <v>1121</v>
      </c>
      <c r="G329" s="3" t="s">
        <v>442</v>
      </c>
      <c r="H329" s="3" t="s">
        <v>439</v>
      </c>
      <c r="I329" s="3" t="s">
        <v>440</v>
      </c>
      <c r="J329" s="3" t="s">
        <v>87</v>
      </c>
      <c r="K329" s="3" t="str">
        <f>"515-280-2053"</f>
        <v>515-280-2053</v>
      </c>
    </row>
    <row r="330" spans="1:11" x14ac:dyDescent="0.35">
      <c r="A330" s="3" t="str">
        <f>"09-0959"</f>
        <v>09-0959</v>
      </c>
      <c r="B330" s="3" t="s">
        <v>907</v>
      </c>
      <c r="C330" s="3" t="s">
        <v>908</v>
      </c>
      <c r="D330" s="3" t="s">
        <v>909</v>
      </c>
      <c r="E330" s="3" t="s">
        <v>285</v>
      </c>
      <c r="F330" s="3" t="s">
        <v>910</v>
      </c>
      <c r="G330" s="3" t="s">
        <v>316</v>
      </c>
      <c r="H330" s="3" t="s">
        <v>313</v>
      </c>
      <c r="I330" s="3" t="s">
        <v>314</v>
      </c>
      <c r="J330" s="3" t="s">
        <v>87</v>
      </c>
      <c r="K330" s="3" t="str">
        <f>"414-395-4980"</f>
        <v>414-395-4980</v>
      </c>
    </row>
    <row r="331" spans="1:11" x14ac:dyDescent="0.35">
      <c r="A331" s="3" t="str">
        <f>"08-0931"</f>
        <v>08-0931</v>
      </c>
      <c r="B331" s="3"/>
      <c r="C331" s="3" t="s">
        <v>813</v>
      </c>
      <c r="D331" s="3" t="s">
        <v>159</v>
      </c>
      <c r="E331" s="3" t="s">
        <v>160</v>
      </c>
      <c r="F331" s="3" t="s">
        <v>815</v>
      </c>
      <c r="G331" s="3" t="s">
        <v>442</v>
      </c>
      <c r="H331" s="3" t="s">
        <v>439</v>
      </c>
      <c r="I331" s="3" t="s">
        <v>814</v>
      </c>
      <c r="J331" s="3" t="s">
        <v>87</v>
      </c>
      <c r="K331" s="3" t="str">
        <f>"515-280-2053"</f>
        <v>515-280-2053</v>
      </c>
    </row>
    <row r="332" spans="1:11" x14ac:dyDescent="0.35">
      <c r="A332" s="3" t="str">
        <f>"12-12-11"</f>
        <v>12-12-11</v>
      </c>
      <c r="B332" s="3"/>
      <c r="C332" s="3" t="s">
        <v>1122</v>
      </c>
      <c r="D332" s="3" t="s">
        <v>159</v>
      </c>
      <c r="E332" s="3" t="s">
        <v>160</v>
      </c>
      <c r="F332" s="3" t="s">
        <v>1123</v>
      </c>
      <c r="G332" s="3" t="s">
        <v>442</v>
      </c>
      <c r="H332" s="3" t="s">
        <v>439</v>
      </c>
      <c r="I332" s="3" t="s">
        <v>814</v>
      </c>
      <c r="J332" s="3" t="s">
        <v>87</v>
      </c>
      <c r="K332" s="3" t="str">
        <f>"515-280-2053"</f>
        <v>515-280-2053</v>
      </c>
    </row>
    <row r="333" spans="1:11" x14ac:dyDescent="0.35">
      <c r="A333" s="3" t="str">
        <f>"13-13-22"</f>
        <v>13-13-22</v>
      </c>
      <c r="B333" s="3"/>
      <c r="C333" s="3" t="s">
        <v>1194</v>
      </c>
      <c r="D333" s="3" t="s">
        <v>159</v>
      </c>
      <c r="E333" s="3" t="s">
        <v>160</v>
      </c>
      <c r="F333" s="3" t="s">
        <v>1195</v>
      </c>
      <c r="G333" s="3" t="s">
        <v>442</v>
      </c>
      <c r="H333" s="3" t="s">
        <v>439</v>
      </c>
      <c r="I333" s="3" t="s">
        <v>440</v>
      </c>
      <c r="J333" s="3" t="s">
        <v>87</v>
      </c>
      <c r="K333" s="3" t="str">
        <f>"515-280-2053"</f>
        <v>515-280-2053</v>
      </c>
    </row>
    <row r="334" spans="1:11" x14ac:dyDescent="0.35">
      <c r="A334" s="3" t="str">
        <f>"06-12"</f>
        <v>06-12</v>
      </c>
      <c r="B334" s="3" t="s">
        <v>578</v>
      </c>
      <c r="C334" s="3" t="s">
        <v>579</v>
      </c>
      <c r="D334" s="3" t="s">
        <v>57</v>
      </c>
      <c r="E334" s="3" t="s">
        <v>58</v>
      </c>
      <c r="F334" s="3" t="s">
        <v>580</v>
      </c>
      <c r="G334" s="3" t="s">
        <v>581</v>
      </c>
      <c r="H334" s="3" t="s">
        <v>59</v>
      </c>
      <c r="I334" s="3" t="s">
        <v>60</v>
      </c>
      <c r="J334" s="3" t="s">
        <v>44</v>
      </c>
      <c r="K334" s="3" t="str">
        <f>"319-887-2701"</f>
        <v>319-887-2701</v>
      </c>
    </row>
    <row r="335" spans="1:11" x14ac:dyDescent="0.35">
      <c r="A335" s="3" t="str">
        <f>"08-0922"</f>
        <v>08-0922</v>
      </c>
      <c r="B335" s="3"/>
      <c r="C335" s="3" t="s">
        <v>807</v>
      </c>
      <c r="D335" s="3" t="s">
        <v>159</v>
      </c>
      <c r="E335" s="3" t="s">
        <v>160</v>
      </c>
      <c r="F335" s="3" t="s">
        <v>808</v>
      </c>
      <c r="G335" s="3" t="s">
        <v>450</v>
      </c>
      <c r="H335" s="3" t="s">
        <v>447</v>
      </c>
      <c r="I335" s="3" t="s">
        <v>448</v>
      </c>
      <c r="J335" s="3" t="s">
        <v>31</v>
      </c>
      <c r="K335" s="3" t="str">
        <f>"612-332-3000"</f>
        <v>612-332-3000</v>
      </c>
    </row>
    <row r="336" spans="1:11" x14ac:dyDescent="0.35">
      <c r="A336" s="3" t="s">
        <v>1989</v>
      </c>
      <c r="B336" s="3" t="s">
        <v>1989</v>
      </c>
      <c r="C336" s="3" t="s">
        <v>1990</v>
      </c>
      <c r="D336" s="3" t="s">
        <v>1991</v>
      </c>
      <c r="E336" s="3" t="s">
        <v>111</v>
      </c>
      <c r="F336" s="3" t="s">
        <v>1992</v>
      </c>
      <c r="G336" s="3" t="s">
        <v>1993</v>
      </c>
      <c r="H336" s="3" t="s">
        <v>981</v>
      </c>
      <c r="I336" s="3" t="s">
        <v>982</v>
      </c>
      <c r="J336" s="3" t="s">
        <v>87</v>
      </c>
      <c r="K336" s="3" t="str">
        <f>"319-455-2496"</f>
        <v>319-455-2496</v>
      </c>
    </row>
    <row r="337" spans="1:11" x14ac:dyDescent="0.35">
      <c r="A337" s="3" t="str">
        <f>"05-44"</f>
        <v>05-44</v>
      </c>
      <c r="B337" s="3"/>
      <c r="C337" s="3" t="s">
        <v>527</v>
      </c>
      <c r="D337" s="3" t="s">
        <v>10</v>
      </c>
      <c r="E337" s="3" t="s">
        <v>11</v>
      </c>
      <c r="F337" s="3" t="s">
        <v>528</v>
      </c>
      <c r="G337" s="3" t="s">
        <v>322</v>
      </c>
      <c r="H337" s="3" t="s">
        <v>319</v>
      </c>
      <c r="I337" s="3" t="s">
        <v>320</v>
      </c>
      <c r="J337" s="3" t="s">
        <v>16</v>
      </c>
      <c r="K337" s="3" t="str">
        <f>"651-815-0665"</f>
        <v>651-815-0665</v>
      </c>
    </row>
    <row r="338" spans="1:11" x14ac:dyDescent="0.35">
      <c r="A338" s="3" t="str">
        <f>"10-10-266"</f>
        <v>10-10-266</v>
      </c>
      <c r="B338" s="3"/>
      <c r="C338" s="3" t="s">
        <v>1002</v>
      </c>
      <c r="D338" s="3" t="s">
        <v>1003</v>
      </c>
      <c r="E338" s="3" t="s">
        <v>160</v>
      </c>
      <c r="F338" s="3" t="s">
        <v>1004</v>
      </c>
      <c r="G338" s="3" t="s">
        <v>108</v>
      </c>
      <c r="H338" s="3" t="s">
        <v>83</v>
      </c>
      <c r="I338" s="3" t="s">
        <v>84</v>
      </c>
      <c r="J338" s="3" t="s">
        <v>87</v>
      </c>
      <c r="K338" s="3" t="str">
        <f>"712-580-5360"</f>
        <v>712-580-5360</v>
      </c>
    </row>
    <row r="339" spans="1:11" x14ac:dyDescent="0.35">
      <c r="A339" s="3" t="str">
        <f>"09-0925"</f>
        <v>09-0925</v>
      </c>
      <c r="B339" s="3" t="s">
        <v>863</v>
      </c>
      <c r="C339" s="3" t="s">
        <v>864</v>
      </c>
      <c r="D339" s="3" t="s">
        <v>159</v>
      </c>
      <c r="E339" s="3" t="s">
        <v>160</v>
      </c>
      <c r="F339" s="3" t="s">
        <v>865</v>
      </c>
      <c r="G339" s="3" t="s">
        <v>240</v>
      </c>
      <c r="H339" s="3" t="s">
        <v>239</v>
      </c>
      <c r="I339" s="3" t="s">
        <v>240</v>
      </c>
      <c r="J339" s="3" t="s">
        <v>87</v>
      </c>
      <c r="K339" s="3" t="str">
        <f>"515-314-5481"</f>
        <v>515-314-5481</v>
      </c>
    </row>
    <row r="340" spans="1:11" x14ac:dyDescent="0.35">
      <c r="A340" s="3" t="str">
        <f>"10-10-222"</f>
        <v>10-10-222</v>
      </c>
      <c r="B340" s="3" t="s">
        <v>941</v>
      </c>
      <c r="C340" s="3" t="s">
        <v>942</v>
      </c>
      <c r="D340" s="3" t="s">
        <v>159</v>
      </c>
      <c r="E340" s="3" t="s">
        <v>160</v>
      </c>
      <c r="F340" s="3" t="s">
        <v>943</v>
      </c>
      <c r="G340" s="3" t="s">
        <v>240</v>
      </c>
      <c r="H340" s="3" t="s">
        <v>239</v>
      </c>
      <c r="I340" s="3" t="s">
        <v>240</v>
      </c>
      <c r="J340" s="3" t="s">
        <v>87</v>
      </c>
      <c r="K340" s="3" t="str">
        <f>"515-314-5481"</f>
        <v>515-314-5481</v>
      </c>
    </row>
    <row r="341" spans="1:11" x14ac:dyDescent="0.35">
      <c r="A341" s="3" t="str">
        <f>"15-15-13"</f>
        <v>15-15-13</v>
      </c>
      <c r="B341" s="3"/>
      <c r="C341" s="3" t="s">
        <v>1312</v>
      </c>
      <c r="D341" s="3" t="s">
        <v>159</v>
      </c>
      <c r="E341" s="3" t="s">
        <v>160</v>
      </c>
      <c r="F341" s="3" t="s">
        <v>1314</v>
      </c>
      <c r="G341" s="3" t="s">
        <v>695</v>
      </c>
      <c r="H341" s="3" t="s">
        <v>692</v>
      </c>
      <c r="I341" s="3" t="s">
        <v>1313</v>
      </c>
      <c r="J341" s="3" t="s">
        <v>16</v>
      </c>
      <c r="K341" s="3" t="str">
        <f>"515-554-9773"</f>
        <v>515-554-9773</v>
      </c>
    </row>
    <row r="342" spans="1:11" x14ac:dyDescent="0.35">
      <c r="A342" s="3" t="str">
        <f>"00-23"</f>
        <v>00-23</v>
      </c>
      <c r="B342" s="3" t="s">
        <v>63</v>
      </c>
      <c r="C342" s="3" t="s">
        <v>64</v>
      </c>
      <c r="D342" s="3" t="s">
        <v>65</v>
      </c>
      <c r="E342" s="3" t="s">
        <v>66</v>
      </c>
      <c r="F342" s="3" t="s">
        <v>67</v>
      </c>
      <c r="G342" s="3" t="s">
        <v>62</v>
      </c>
      <c r="H342" s="3" t="s">
        <v>59</v>
      </c>
      <c r="I342" s="3" t="s">
        <v>60</v>
      </c>
      <c r="J342" s="3" t="s">
        <v>44</v>
      </c>
      <c r="K342" s="3" t="str">
        <f>"319-338-7600"</f>
        <v>319-338-7600</v>
      </c>
    </row>
    <row r="343" spans="1:11" x14ac:dyDescent="0.35">
      <c r="A343" s="3" t="str">
        <f>"90-50"</f>
        <v>90-50</v>
      </c>
      <c r="B343" s="3"/>
      <c r="C343" s="3" t="s">
        <v>1524</v>
      </c>
      <c r="D343" s="3" t="s">
        <v>1525</v>
      </c>
      <c r="E343" s="3" t="s">
        <v>71</v>
      </c>
      <c r="F343" s="3" t="s">
        <v>1526</v>
      </c>
      <c r="G343" s="3" t="s">
        <v>1527</v>
      </c>
      <c r="H343" s="3" t="s">
        <v>83</v>
      </c>
      <c r="I343" s="3" t="s">
        <v>84</v>
      </c>
      <c r="J343" s="3" t="s">
        <v>87</v>
      </c>
      <c r="K343" s="3" t="str">
        <f>"816-612-8180"</f>
        <v>816-612-8180</v>
      </c>
    </row>
    <row r="344" spans="1:11" x14ac:dyDescent="0.35">
      <c r="A344" s="3" t="str">
        <f>"10-10-267"</f>
        <v>10-10-267</v>
      </c>
      <c r="B344" s="3"/>
      <c r="C344" s="3" t="s">
        <v>1005</v>
      </c>
      <c r="D344" s="3" t="s">
        <v>728</v>
      </c>
      <c r="E344" s="3" t="s">
        <v>729</v>
      </c>
      <c r="F344" s="3" t="s">
        <v>1006</v>
      </c>
      <c r="G344" s="3" t="s">
        <v>108</v>
      </c>
      <c r="H344" s="3" t="s">
        <v>83</v>
      </c>
      <c r="I344" s="3" t="s">
        <v>84</v>
      </c>
      <c r="J344" s="3" t="s">
        <v>87</v>
      </c>
      <c r="K344" s="3" t="str">
        <f>"712-580-5360"</f>
        <v>712-580-5360</v>
      </c>
    </row>
    <row r="345" spans="1:11" x14ac:dyDescent="0.35">
      <c r="A345" s="3" t="str">
        <f>"09-0916"</f>
        <v>09-0916</v>
      </c>
      <c r="B345" s="3" t="s">
        <v>859</v>
      </c>
      <c r="C345" s="3" t="s">
        <v>860</v>
      </c>
      <c r="D345" s="3" t="s">
        <v>52</v>
      </c>
      <c r="E345" s="3" t="s">
        <v>38</v>
      </c>
      <c r="F345" s="3" t="s">
        <v>861</v>
      </c>
      <c r="G345" s="3" t="s">
        <v>862</v>
      </c>
      <c r="H345" s="3" t="s">
        <v>39</v>
      </c>
      <c r="I345" s="3" t="s">
        <v>40</v>
      </c>
      <c r="J345" s="3" t="s">
        <v>44</v>
      </c>
      <c r="K345" s="3" t="str">
        <f>"712-252-5859"</f>
        <v>712-252-5859</v>
      </c>
    </row>
    <row r="346" spans="1:11" x14ac:dyDescent="0.35">
      <c r="A346" s="3" t="str">
        <f>"94-36"</f>
        <v>94-36</v>
      </c>
      <c r="B346" s="3"/>
      <c r="C346" s="3" t="s">
        <v>1719</v>
      </c>
      <c r="D346" s="3" t="s">
        <v>159</v>
      </c>
      <c r="E346" s="3" t="s">
        <v>160</v>
      </c>
      <c r="F346" s="3" t="s">
        <v>1720</v>
      </c>
      <c r="G346" s="3" t="s">
        <v>1721</v>
      </c>
      <c r="H346" s="3" t="s">
        <v>1720</v>
      </c>
      <c r="I346" s="3" t="s">
        <v>1721</v>
      </c>
      <c r="J346" s="3" t="s">
        <v>16</v>
      </c>
      <c r="K346" s="3" t="str">
        <f>"515-279-8272"</f>
        <v>515-279-8272</v>
      </c>
    </row>
    <row r="347" spans="1:11" x14ac:dyDescent="0.35">
      <c r="A347" s="3" t="s">
        <v>1397</v>
      </c>
      <c r="B347" s="3" t="s">
        <v>1397</v>
      </c>
      <c r="C347" s="3" t="s">
        <v>1398</v>
      </c>
      <c r="D347" s="3" t="s">
        <v>1399</v>
      </c>
      <c r="E347" s="3" t="s">
        <v>1306</v>
      </c>
      <c r="F347" s="3" t="s">
        <v>130</v>
      </c>
      <c r="G347" s="3" t="s">
        <v>548</v>
      </c>
      <c r="H347" s="3" t="s">
        <v>130</v>
      </c>
      <c r="I347" s="3" t="s">
        <v>131</v>
      </c>
      <c r="J347" s="3" t="s">
        <v>31</v>
      </c>
      <c r="K347" s="3" t="str">
        <f>"563-382-8436"</f>
        <v>563-382-8436</v>
      </c>
    </row>
    <row r="348" spans="1:11" x14ac:dyDescent="0.35">
      <c r="A348" s="3" t="s">
        <v>1297</v>
      </c>
      <c r="B348" s="3" t="s">
        <v>1297</v>
      </c>
      <c r="C348" s="3" t="s">
        <v>1298</v>
      </c>
      <c r="D348" s="3" t="s">
        <v>1299</v>
      </c>
      <c r="E348" s="3" t="s">
        <v>1300</v>
      </c>
      <c r="F348" s="3" t="s">
        <v>130</v>
      </c>
      <c r="G348" s="3" t="s">
        <v>548</v>
      </c>
      <c r="H348" s="3" t="s">
        <v>130</v>
      </c>
      <c r="I348" s="3" t="s">
        <v>131</v>
      </c>
      <c r="J348" s="3" t="s">
        <v>31</v>
      </c>
      <c r="K348" s="3" t="str">
        <f>"563-382-8436"</f>
        <v>563-382-8436</v>
      </c>
    </row>
    <row r="349" spans="1:11" x14ac:dyDescent="0.35">
      <c r="A349" s="3" t="s">
        <v>1303</v>
      </c>
      <c r="B349" s="3" t="s">
        <v>1303</v>
      </c>
      <c r="C349" s="3" t="s">
        <v>1304</v>
      </c>
      <c r="D349" s="3" t="s">
        <v>1305</v>
      </c>
      <c r="E349" s="3" t="s">
        <v>1306</v>
      </c>
      <c r="F349" s="3" t="s">
        <v>130</v>
      </c>
      <c r="G349" s="3" t="s">
        <v>548</v>
      </c>
      <c r="H349" s="3" t="s">
        <v>130</v>
      </c>
      <c r="I349" s="3" t="s">
        <v>131</v>
      </c>
      <c r="J349" s="3" t="s">
        <v>31</v>
      </c>
      <c r="K349" s="3" t="str">
        <f>"563-382-8436"</f>
        <v>563-382-8436</v>
      </c>
    </row>
    <row r="350" spans="1:11" x14ac:dyDescent="0.35">
      <c r="A350" s="3" t="str">
        <f>"10-10-268"</f>
        <v>10-10-268</v>
      </c>
      <c r="B350" s="3"/>
      <c r="C350" s="3" t="s">
        <v>1007</v>
      </c>
      <c r="D350" s="3" t="s">
        <v>909</v>
      </c>
      <c r="E350" s="3" t="s">
        <v>285</v>
      </c>
      <c r="F350" s="3" t="s">
        <v>1008</v>
      </c>
      <c r="G350" s="3" t="s">
        <v>991</v>
      </c>
      <c r="H350" s="3" t="s">
        <v>83</v>
      </c>
      <c r="I350" s="3" t="s">
        <v>84</v>
      </c>
      <c r="J350" s="3" t="s">
        <v>87</v>
      </c>
      <c r="K350" s="3" t="str">
        <f>"913-492-7800"</f>
        <v>913-492-7800</v>
      </c>
    </row>
    <row r="351" spans="1:11" x14ac:dyDescent="0.35">
      <c r="A351" s="3" t="s">
        <v>2047</v>
      </c>
      <c r="B351" s="3" t="s">
        <v>2047</v>
      </c>
      <c r="C351" s="3" t="s">
        <v>2048</v>
      </c>
      <c r="D351" s="3" t="s">
        <v>2049</v>
      </c>
      <c r="E351" s="3" t="s">
        <v>1300</v>
      </c>
      <c r="F351" s="3" t="s">
        <v>2050</v>
      </c>
      <c r="G351" s="3" t="s">
        <v>2051</v>
      </c>
      <c r="H351" s="3" t="s">
        <v>2050</v>
      </c>
      <c r="I351" s="3" t="s">
        <v>2051</v>
      </c>
      <c r="J351" s="3" t="s">
        <v>87</v>
      </c>
      <c r="K351" s="3" t="str">
        <f>"563-544-4260"</f>
        <v>563-544-4260</v>
      </c>
    </row>
    <row r="352" spans="1:11" x14ac:dyDescent="0.35">
      <c r="A352" s="3" t="str">
        <f>"06-10"</f>
        <v>06-10</v>
      </c>
      <c r="B352" s="3" t="s">
        <v>572</v>
      </c>
      <c r="C352" s="3" t="s">
        <v>573</v>
      </c>
      <c r="D352" s="3" t="s">
        <v>141</v>
      </c>
      <c r="E352" s="3" t="s">
        <v>142</v>
      </c>
      <c r="F352" s="3" t="s">
        <v>570</v>
      </c>
      <c r="G352" s="3" t="s">
        <v>574</v>
      </c>
      <c r="H352" s="3" t="s">
        <v>259</v>
      </c>
      <c r="I352" s="3" t="s">
        <v>260</v>
      </c>
      <c r="J352" s="3" t="s">
        <v>16</v>
      </c>
      <c r="K352" s="3" t="str">
        <f>"319-390-4611"</f>
        <v>319-390-4611</v>
      </c>
    </row>
    <row r="353" spans="1:11" x14ac:dyDescent="0.35">
      <c r="A353" s="3" t="str">
        <f>"06-47"</f>
        <v>06-47</v>
      </c>
      <c r="B353" s="3" t="s">
        <v>640</v>
      </c>
      <c r="C353" s="3" t="s">
        <v>641</v>
      </c>
      <c r="D353" s="3" t="s">
        <v>25</v>
      </c>
      <c r="E353" s="3" t="s">
        <v>26</v>
      </c>
      <c r="F353" s="3" t="s">
        <v>644</v>
      </c>
      <c r="G353" s="3" t="s">
        <v>645</v>
      </c>
      <c r="H353" s="3" t="s">
        <v>642</v>
      </c>
      <c r="I353" s="3" t="s">
        <v>643</v>
      </c>
      <c r="J353" s="3" t="s">
        <v>16</v>
      </c>
      <c r="K353" s="3" t="str">
        <f>"712-322-7570"</f>
        <v>712-322-7570</v>
      </c>
    </row>
    <row r="354" spans="1:11" x14ac:dyDescent="0.35">
      <c r="A354" s="3" t="str">
        <f>"93-29"</f>
        <v>93-29</v>
      </c>
      <c r="B354" s="3"/>
      <c r="C354" s="3" t="s">
        <v>1674</v>
      </c>
      <c r="D354" s="3" t="s">
        <v>949</v>
      </c>
      <c r="E354" s="3" t="s">
        <v>950</v>
      </c>
      <c r="F354" s="3" t="s">
        <v>1675</v>
      </c>
      <c r="G354" s="3" t="s">
        <v>108</v>
      </c>
      <c r="H354" s="3" t="s">
        <v>83</v>
      </c>
      <c r="I354" s="3" t="s">
        <v>84</v>
      </c>
      <c r="J354" s="3" t="s">
        <v>87</v>
      </c>
      <c r="K354" s="3" t="str">
        <f>"712-580-5360"</f>
        <v>712-580-5360</v>
      </c>
    </row>
    <row r="355" spans="1:11" x14ac:dyDescent="0.35">
      <c r="A355" s="3" t="str">
        <f>"13-13-33"</f>
        <v>13-13-33</v>
      </c>
      <c r="B355" s="3" t="s">
        <v>1211</v>
      </c>
      <c r="C355" s="3" t="s">
        <v>1212</v>
      </c>
      <c r="D355" s="3" t="s">
        <v>949</v>
      </c>
      <c r="E355" s="3" t="s">
        <v>950</v>
      </c>
      <c r="F355" s="3" t="s">
        <v>1213</v>
      </c>
      <c r="G355" s="3" t="s">
        <v>963</v>
      </c>
      <c r="H355" s="3" t="s">
        <v>960</v>
      </c>
      <c r="I355" s="3" t="s">
        <v>961</v>
      </c>
      <c r="J355" s="3" t="s">
        <v>78</v>
      </c>
      <c r="K355" s="3" t="str">
        <f>"513-964-1140"</f>
        <v>513-964-1140</v>
      </c>
    </row>
    <row r="356" spans="1:11" x14ac:dyDescent="0.35">
      <c r="A356" s="3" t="str">
        <f>"98-24"</f>
        <v>98-24</v>
      </c>
      <c r="B356" s="3"/>
      <c r="C356" s="3" t="s">
        <v>1924</v>
      </c>
      <c r="D356" s="3" t="s">
        <v>949</v>
      </c>
      <c r="E356" s="3" t="s">
        <v>950</v>
      </c>
      <c r="F356" s="3" t="s">
        <v>1925</v>
      </c>
      <c r="G356" s="3" t="s">
        <v>1923</v>
      </c>
      <c r="H356" s="3" t="s">
        <v>246</v>
      </c>
      <c r="I356" s="3" t="s">
        <v>247</v>
      </c>
      <c r="J356" s="3" t="s">
        <v>16</v>
      </c>
      <c r="K356" s="3" t="str">
        <f>"262-790-4560"</f>
        <v>262-790-4560</v>
      </c>
    </row>
    <row r="357" spans="1:11" x14ac:dyDescent="0.35">
      <c r="A357" s="3" t="str">
        <f>"95-11"</f>
        <v>95-11</v>
      </c>
      <c r="B357" s="3" t="s">
        <v>1744</v>
      </c>
      <c r="C357" s="3" t="s">
        <v>1745</v>
      </c>
      <c r="D357" s="3" t="s">
        <v>367</v>
      </c>
      <c r="E357" s="3" t="s">
        <v>58</v>
      </c>
      <c r="F357" s="3" t="s">
        <v>1746</v>
      </c>
      <c r="G357" s="3" t="s">
        <v>62</v>
      </c>
      <c r="H357" s="3" t="s">
        <v>59</v>
      </c>
      <c r="I357" s="3" t="s">
        <v>60</v>
      </c>
      <c r="J357" s="3" t="s">
        <v>44</v>
      </c>
      <c r="K357" s="3" t="str">
        <f>"319-338-7600"</f>
        <v>319-338-7600</v>
      </c>
    </row>
    <row r="358" spans="1:11" x14ac:dyDescent="0.35">
      <c r="A358" s="3" t="str">
        <f>"09-0943"</f>
        <v>09-0943</v>
      </c>
      <c r="B358" s="3"/>
      <c r="C358" s="3" t="s">
        <v>891</v>
      </c>
      <c r="D358" s="3" t="s">
        <v>367</v>
      </c>
      <c r="E358" s="3" t="s">
        <v>58</v>
      </c>
      <c r="F358" s="3" t="s">
        <v>892</v>
      </c>
      <c r="G358" s="3" t="s">
        <v>15</v>
      </c>
      <c r="H358" s="3" t="s">
        <v>12</v>
      </c>
      <c r="I358" s="3" t="s">
        <v>13</v>
      </c>
      <c r="J358" s="3" t="s">
        <v>16</v>
      </c>
      <c r="K358" s="3" t="str">
        <f>"608-348-7755"</f>
        <v>608-348-7755</v>
      </c>
    </row>
    <row r="359" spans="1:11" x14ac:dyDescent="0.35">
      <c r="A359" s="3" t="s">
        <v>1355</v>
      </c>
      <c r="B359" s="3" t="s">
        <v>1355</v>
      </c>
      <c r="C359" s="3" t="s">
        <v>1356</v>
      </c>
      <c r="D359" s="3" t="s">
        <v>825</v>
      </c>
      <c r="E359" s="3" t="s">
        <v>826</v>
      </c>
      <c r="F359" s="3" t="s">
        <v>1357</v>
      </c>
      <c r="G359" s="3" t="s">
        <v>1358</v>
      </c>
      <c r="H359" s="3" t="s">
        <v>1357</v>
      </c>
      <c r="I359" s="3" t="s">
        <v>1358</v>
      </c>
      <c r="J359" s="3" t="s">
        <v>16</v>
      </c>
      <c r="K359" s="3" t="str">
        <f>"515-988-9613"</f>
        <v>515-988-9613</v>
      </c>
    </row>
    <row r="360" spans="1:11" x14ac:dyDescent="0.35">
      <c r="A360" s="4" t="str">
        <f>"95-65"</f>
        <v>95-65</v>
      </c>
      <c r="B360" s="4" t="s">
        <v>1776</v>
      </c>
      <c r="C360" s="4" t="s">
        <v>1777</v>
      </c>
      <c r="D360" s="4" t="s">
        <v>1778</v>
      </c>
      <c r="E360" s="4" t="s">
        <v>1557</v>
      </c>
      <c r="F360" s="4" t="s">
        <v>1779</v>
      </c>
      <c r="G360" s="4" t="s">
        <v>1780</v>
      </c>
      <c r="H360" s="4" t="s">
        <v>39</v>
      </c>
      <c r="I360" s="4" t="s">
        <v>40</v>
      </c>
      <c r="J360" s="4" t="s">
        <v>2064</v>
      </c>
      <c r="K360" s="4" t="str">
        <f>"515-262-5965"</f>
        <v>515-262-5965</v>
      </c>
    </row>
    <row r="361" spans="1:11" x14ac:dyDescent="0.35">
      <c r="A361" s="3" t="s">
        <v>546</v>
      </c>
      <c r="B361" s="3" t="s">
        <v>546</v>
      </c>
      <c r="C361" s="3" t="s">
        <v>547</v>
      </c>
      <c r="D361" s="3" t="s">
        <v>128</v>
      </c>
      <c r="E361" s="3" t="s">
        <v>129</v>
      </c>
      <c r="F361" s="3" t="s">
        <v>130</v>
      </c>
      <c r="G361" s="3" t="s">
        <v>548</v>
      </c>
      <c r="H361" s="3" t="s">
        <v>130</v>
      </c>
      <c r="I361" s="3" t="s">
        <v>131</v>
      </c>
      <c r="J361" s="3" t="s">
        <v>31</v>
      </c>
      <c r="K361" s="3" t="str">
        <f>"563-382-8436"</f>
        <v>563-382-8436</v>
      </c>
    </row>
    <row r="362" spans="1:11" x14ac:dyDescent="0.35">
      <c r="A362" s="3" t="str">
        <f>"05-25"</f>
        <v>05-25</v>
      </c>
      <c r="B362" s="3"/>
      <c r="C362" s="3" t="s">
        <v>502</v>
      </c>
      <c r="D362" s="3" t="s">
        <v>503</v>
      </c>
      <c r="E362" s="3" t="s">
        <v>504</v>
      </c>
      <c r="F362" s="3" t="s">
        <v>505</v>
      </c>
      <c r="G362" s="3" t="s">
        <v>506</v>
      </c>
      <c r="H362" s="3" t="s">
        <v>59</v>
      </c>
      <c r="I362" s="3" t="s">
        <v>60</v>
      </c>
      <c r="J362" s="3" t="s">
        <v>44</v>
      </c>
      <c r="K362" s="3" t="str">
        <f>"402-334-8899"</f>
        <v>402-334-8899</v>
      </c>
    </row>
    <row r="363" spans="1:11" x14ac:dyDescent="0.35">
      <c r="A363" s="3" t="str">
        <f>"95-77"</f>
        <v>95-77</v>
      </c>
      <c r="B363" s="3"/>
      <c r="C363" s="3" t="s">
        <v>1785</v>
      </c>
      <c r="D363" s="3" t="s">
        <v>136</v>
      </c>
      <c r="E363" s="3" t="s">
        <v>137</v>
      </c>
      <c r="F363" s="3" t="s">
        <v>222</v>
      </c>
      <c r="G363" s="3" t="s">
        <v>223</v>
      </c>
      <c r="H363" s="3" t="s">
        <v>222</v>
      </c>
      <c r="I363" s="3" t="s">
        <v>223</v>
      </c>
      <c r="J363" s="3" t="s">
        <v>31</v>
      </c>
      <c r="K363" s="3" t="str">
        <f>"515-573-7751"</f>
        <v>515-573-7751</v>
      </c>
    </row>
    <row r="364" spans="1:11" x14ac:dyDescent="0.35">
      <c r="A364" s="3" t="str">
        <f>"02-12"</f>
        <v>02-12</v>
      </c>
      <c r="B364" s="3"/>
      <c r="C364" s="3" t="s">
        <v>221</v>
      </c>
      <c r="D364" s="3" t="s">
        <v>136</v>
      </c>
      <c r="E364" s="3" t="s">
        <v>137</v>
      </c>
      <c r="F364" s="3" t="s">
        <v>222</v>
      </c>
      <c r="G364" s="3" t="s">
        <v>223</v>
      </c>
      <c r="H364" s="3" t="s">
        <v>222</v>
      </c>
      <c r="I364" s="3" t="s">
        <v>223</v>
      </c>
      <c r="J364" s="3" t="s">
        <v>31</v>
      </c>
      <c r="K364" s="3" t="str">
        <f>"515-573-7751"</f>
        <v>515-573-7751</v>
      </c>
    </row>
    <row r="365" spans="1:11" x14ac:dyDescent="0.35">
      <c r="A365" s="3" t="str">
        <f>"98-01"</f>
        <v>98-01</v>
      </c>
      <c r="B365" s="3" t="s">
        <v>1889</v>
      </c>
      <c r="C365" s="3" t="s">
        <v>1890</v>
      </c>
      <c r="D365" s="3" t="s">
        <v>1891</v>
      </c>
      <c r="E365" s="3" t="s">
        <v>1252</v>
      </c>
      <c r="F365" s="3" t="s">
        <v>1892</v>
      </c>
      <c r="G365" s="3" t="s">
        <v>42</v>
      </c>
      <c r="H365" s="3" t="s">
        <v>39</v>
      </c>
      <c r="I365" s="3" t="s">
        <v>40</v>
      </c>
      <c r="J365" s="3" t="s">
        <v>44</v>
      </c>
      <c r="K365" s="3" t="str">
        <f>"515-262-5965"</f>
        <v>515-262-5965</v>
      </c>
    </row>
    <row r="366" spans="1:11" x14ac:dyDescent="0.35">
      <c r="A366" s="3" t="str">
        <f>"10-10-226"</f>
        <v>10-10-226</v>
      </c>
      <c r="B366" s="3"/>
      <c r="C366" s="3" t="s">
        <v>944</v>
      </c>
      <c r="D366" s="3" t="s">
        <v>945</v>
      </c>
      <c r="E366" s="3" t="s">
        <v>946</v>
      </c>
      <c r="F366" s="3" t="s">
        <v>947</v>
      </c>
      <c r="G366" s="3" t="s">
        <v>108</v>
      </c>
      <c r="H366" s="3" t="s">
        <v>83</v>
      </c>
      <c r="I366" s="3" t="s">
        <v>84</v>
      </c>
      <c r="J366" s="3" t="s">
        <v>87</v>
      </c>
      <c r="K366" s="3" t="str">
        <f>"712-580-5360"</f>
        <v>712-580-5360</v>
      </c>
    </row>
    <row r="367" spans="1:11" x14ac:dyDescent="0.35">
      <c r="A367" s="3" t="str">
        <f>"90-29"</f>
        <v>90-29</v>
      </c>
      <c r="B367" s="3"/>
      <c r="C367" s="3" t="s">
        <v>1503</v>
      </c>
      <c r="D367" s="3" t="s">
        <v>945</v>
      </c>
      <c r="E367" s="3" t="s">
        <v>946</v>
      </c>
      <c r="F367" s="3" t="s">
        <v>1504</v>
      </c>
      <c r="G367" s="3" t="s">
        <v>680</v>
      </c>
      <c r="H367" s="3" t="s">
        <v>679</v>
      </c>
      <c r="I367" s="3" t="s">
        <v>680</v>
      </c>
      <c r="J367" s="3" t="s">
        <v>16</v>
      </c>
      <c r="K367" s="3" t="str">
        <f>"515-689-8593"</f>
        <v>515-689-8593</v>
      </c>
    </row>
    <row r="368" spans="1:11" x14ac:dyDescent="0.35">
      <c r="A368" s="3" t="s">
        <v>1118</v>
      </c>
      <c r="B368" s="3" t="s">
        <v>1118</v>
      </c>
      <c r="C368" s="3" t="s">
        <v>1119</v>
      </c>
      <c r="D368" s="3" t="s">
        <v>913</v>
      </c>
      <c r="E368" s="3" t="s">
        <v>746</v>
      </c>
      <c r="F368" s="3" t="s">
        <v>749</v>
      </c>
      <c r="G368" s="3" t="s">
        <v>750</v>
      </c>
      <c r="H368" s="3" t="s">
        <v>747</v>
      </c>
      <c r="I368" s="3" t="s">
        <v>748</v>
      </c>
      <c r="J368" s="3" t="s">
        <v>87</v>
      </c>
      <c r="K368" s="3" t="str">
        <f>"641-220-3714"</f>
        <v>641-220-3714</v>
      </c>
    </row>
    <row r="369" spans="1:11" x14ac:dyDescent="0.35">
      <c r="A369" s="4" t="str">
        <f>"97-38"</f>
        <v>97-38</v>
      </c>
      <c r="B369" s="4"/>
      <c r="C369" s="4" t="s">
        <v>1851</v>
      </c>
      <c r="D369" s="4" t="s">
        <v>1063</v>
      </c>
      <c r="E369" s="4" t="s">
        <v>160</v>
      </c>
      <c r="F369" s="4" t="s">
        <v>1854</v>
      </c>
      <c r="G369" s="4" t="s">
        <v>1855</v>
      </c>
      <c r="H369" s="4" t="s">
        <v>1852</v>
      </c>
      <c r="I369" s="4" t="s">
        <v>1853</v>
      </c>
      <c r="J369" s="4" t="s">
        <v>2062</v>
      </c>
      <c r="K369" s="4" t="str">
        <f>"515-226-0000"</f>
        <v>515-226-0000</v>
      </c>
    </row>
    <row r="370" spans="1:11" x14ac:dyDescent="0.35">
      <c r="A370" s="3" t="str">
        <f>"09-0926"</f>
        <v>09-0926</v>
      </c>
      <c r="B370" s="3"/>
      <c r="C370" s="3" t="s">
        <v>866</v>
      </c>
      <c r="D370" s="3" t="s">
        <v>110</v>
      </c>
      <c r="E370" s="3" t="s">
        <v>111</v>
      </c>
      <c r="F370" s="3" t="s">
        <v>867</v>
      </c>
      <c r="G370" s="3" t="s">
        <v>240</v>
      </c>
      <c r="H370" s="3" t="s">
        <v>239</v>
      </c>
      <c r="I370" s="3" t="s">
        <v>240</v>
      </c>
      <c r="J370" s="3" t="s">
        <v>87</v>
      </c>
      <c r="K370" s="3" t="str">
        <f>"515-314-5481"</f>
        <v>515-314-5481</v>
      </c>
    </row>
    <row r="371" spans="1:11" x14ac:dyDescent="0.35">
      <c r="A371" s="3" t="str">
        <f>"03-34"</f>
        <v>03-34</v>
      </c>
      <c r="B371" s="3" t="s">
        <v>349</v>
      </c>
      <c r="C371" s="3" t="s">
        <v>350</v>
      </c>
      <c r="D371" s="3" t="s">
        <v>346</v>
      </c>
      <c r="E371" s="3" t="s">
        <v>347</v>
      </c>
      <c r="F371" s="3" t="s">
        <v>351</v>
      </c>
      <c r="G371" s="3" t="s">
        <v>62</v>
      </c>
      <c r="H371" s="3" t="s">
        <v>59</v>
      </c>
      <c r="I371" s="3" t="s">
        <v>60</v>
      </c>
      <c r="J371" s="3" t="s">
        <v>44</v>
      </c>
      <c r="K371" s="3" t="str">
        <f>"319-338-7600"</f>
        <v>319-338-7600</v>
      </c>
    </row>
    <row r="372" spans="1:11" x14ac:dyDescent="0.35">
      <c r="A372" s="3" t="str">
        <f>"97-61"</f>
        <v>97-61</v>
      </c>
      <c r="B372" s="3"/>
      <c r="C372" s="3" t="s">
        <v>1872</v>
      </c>
      <c r="D372" s="3" t="s">
        <v>1873</v>
      </c>
      <c r="E372" s="3" t="s">
        <v>230</v>
      </c>
      <c r="F372" s="3" t="s">
        <v>1874</v>
      </c>
      <c r="G372" s="3" t="s">
        <v>1875</v>
      </c>
      <c r="H372" s="3" t="s">
        <v>1874</v>
      </c>
      <c r="I372" s="3" t="s">
        <v>1875</v>
      </c>
      <c r="J372" s="3" t="s">
        <v>16</v>
      </c>
      <c r="K372" s="3" t="str">
        <f>"712-358-9019"</f>
        <v>712-358-9019</v>
      </c>
    </row>
    <row r="373" spans="1:11" x14ac:dyDescent="0.35">
      <c r="A373" s="3" t="str">
        <f>"97-64"</f>
        <v>97-64</v>
      </c>
      <c r="B373" s="3"/>
      <c r="C373" s="3" t="s">
        <v>1878</v>
      </c>
      <c r="D373" s="3" t="s">
        <v>1879</v>
      </c>
      <c r="E373" s="3" t="s">
        <v>26</v>
      </c>
      <c r="F373" s="3" t="s">
        <v>1880</v>
      </c>
      <c r="G373" s="3" t="s">
        <v>108</v>
      </c>
      <c r="H373" s="3" t="s">
        <v>105</v>
      </c>
      <c r="I373" s="3" t="s">
        <v>106</v>
      </c>
      <c r="J373" s="3" t="s">
        <v>87</v>
      </c>
      <c r="K373" s="3" t="str">
        <f>"712-240-2188"</f>
        <v>712-240-2188</v>
      </c>
    </row>
    <row r="374" spans="1:11" x14ac:dyDescent="0.35">
      <c r="A374" s="3" t="str">
        <f>"07-38"</f>
        <v>07-38</v>
      </c>
      <c r="B374" s="3"/>
      <c r="C374" s="3" t="s">
        <v>713</v>
      </c>
      <c r="D374" s="3" t="s">
        <v>159</v>
      </c>
      <c r="E374" s="3" t="s">
        <v>160</v>
      </c>
      <c r="F374" s="3" t="s">
        <v>89</v>
      </c>
      <c r="G374" s="3" t="s">
        <v>90</v>
      </c>
      <c r="H374" s="3" t="s">
        <v>89</v>
      </c>
      <c r="I374" s="3" t="s">
        <v>90</v>
      </c>
      <c r="J374" s="3" t="s">
        <v>78</v>
      </c>
      <c r="K374" s="3" t="str">
        <f>"515-246-8016"</f>
        <v>515-246-8016</v>
      </c>
    </row>
    <row r="375" spans="1:11" x14ac:dyDescent="0.35">
      <c r="A375" s="3" t="str">
        <f>"06-26"</f>
        <v>06-26</v>
      </c>
      <c r="B375" s="3"/>
      <c r="C375" s="3" t="s">
        <v>609</v>
      </c>
      <c r="D375" s="3" t="s">
        <v>610</v>
      </c>
      <c r="E375" s="3" t="s">
        <v>611</v>
      </c>
      <c r="F375" s="3" t="s">
        <v>612</v>
      </c>
      <c r="G375" s="3" t="s">
        <v>604</v>
      </c>
      <c r="H375" s="3" t="s">
        <v>601</v>
      </c>
      <c r="I375" s="3" t="s">
        <v>602</v>
      </c>
      <c r="J375" s="3" t="s">
        <v>87</v>
      </c>
      <c r="K375" s="3" t="str">
        <f>"515-224-4442"</f>
        <v>515-224-4442</v>
      </c>
    </row>
    <row r="376" spans="1:11" x14ac:dyDescent="0.35">
      <c r="A376" s="3" t="str">
        <f>"11-11-61"</f>
        <v>11-11-61</v>
      </c>
      <c r="B376" s="3" t="s">
        <v>1104</v>
      </c>
      <c r="C376" s="3" t="s">
        <v>1105</v>
      </c>
      <c r="D376" s="3" t="s">
        <v>159</v>
      </c>
      <c r="E376" s="3" t="s">
        <v>160</v>
      </c>
      <c r="F376" s="3" t="s">
        <v>1106</v>
      </c>
      <c r="G376" s="3" t="s">
        <v>240</v>
      </c>
      <c r="H376" s="3" t="s">
        <v>239</v>
      </c>
      <c r="I376" s="3" t="s">
        <v>240</v>
      </c>
      <c r="J376" s="3" t="s">
        <v>87</v>
      </c>
      <c r="K376" s="3" t="str">
        <f>"515-314-5481"</f>
        <v>515-314-5481</v>
      </c>
    </row>
    <row r="377" spans="1:11" x14ac:dyDescent="0.35">
      <c r="A377" s="3" t="str">
        <f>"91-01"</f>
        <v>91-01</v>
      </c>
      <c r="B377" s="3"/>
      <c r="C377" s="3" t="s">
        <v>1544</v>
      </c>
      <c r="D377" s="3" t="s">
        <v>1545</v>
      </c>
      <c r="E377" s="3" t="s">
        <v>1546</v>
      </c>
      <c r="F377" s="3" t="s">
        <v>1549</v>
      </c>
      <c r="G377" s="3" t="s">
        <v>1548</v>
      </c>
      <c r="H377" s="3" t="s">
        <v>1547</v>
      </c>
      <c r="I377" s="3" t="s">
        <v>1548</v>
      </c>
      <c r="J377" s="3" t="s">
        <v>31</v>
      </c>
      <c r="K377" s="3" t="str">
        <f>"573-443-2021"</f>
        <v>573-443-2021</v>
      </c>
    </row>
    <row r="378" spans="1:11" x14ac:dyDescent="0.35">
      <c r="A378" s="3" t="str">
        <f>"06-27"</f>
        <v>06-27</v>
      </c>
      <c r="B378" s="3"/>
      <c r="C378" s="3" t="s">
        <v>613</v>
      </c>
      <c r="D378" s="3" t="s">
        <v>614</v>
      </c>
      <c r="E378" s="3" t="s">
        <v>615</v>
      </c>
      <c r="F378" s="3" t="s">
        <v>616</v>
      </c>
      <c r="G378" s="3" t="s">
        <v>604</v>
      </c>
      <c r="H378" s="3" t="s">
        <v>601</v>
      </c>
      <c r="I378" s="3" t="s">
        <v>602</v>
      </c>
      <c r="J378" s="3" t="s">
        <v>87</v>
      </c>
      <c r="K378" s="3" t="str">
        <f>"515-224-4442"</f>
        <v>515-224-4442</v>
      </c>
    </row>
    <row r="379" spans="1:11" x14ac:dyDescent="0.35">
      <c r="A379" s="3" t="s">
        <v>914</v>
      </c>
      <c r="B379" s="3" t="s">
        <v>914</v>
      </c>
      <c r="C379" s="3" t="s">
        <v>915</v>
      </c>
      <c r="D379" s="3" t="s">
        <v>916</v>
      </c>
      <c r="E379" s="3" t="s">
        <v>917</v>
      </c>
      <c r="F379" s="3" t="s">
        <v>918</v>
      </c>
      <c r="G379" s="3" t="s">
        <v>918</v>
      </c>
      <c r="H379" s="3" t="s">
        <v>918</v>
      </c>
      <c r="I379" s="3" t="s">
        <v>918</v>
      </c>
      <c r="J379" s="3" t="s">
        <v>44</v>
      </c>
      <c r="K379" s="3" t="str">
        <f>"319-215-6111"</f>
        <v>319-215-6111</v>
      </c>
    </row>
    <row r="380" spans="1:11" x14ac:dyDescent="0.35">
      <c r="A380" s="3" t="str">
        <f>"04-45"</f>
        <v>04-45</v>
      </c>
      <c r="B380" s="3"/>
      <c r="C380" s="3" t="s">
        <v>435</v>
      </c>
      <c r="D380" s="3" t="s">
        <v>436</v>
      </c>
      <c r="E380" s="3" t="s">
        <v>11</v>
      </c>
      <c r="F380" s="3" t="s">
        <v>437</v>
      </c>
      <c r="G380" s="3" t="s">
        <v>247</v>
      </c>
      <c r="H380" s="3" t="s">
        <v>246</v>
      </c>
      <c r="I380" s="3" t="s">
        <v>247</v>
      </c>
      <c r="J380" s="3" t="s">
        <v>16</v>
      </c>
      <c r="K380" s="3" t="str">
        <f>"262-790-4560"</f>
        <v>262-790-4560</v>
      </c>
    </row>
    <row r="381" spans="1:11" x14ac:dyDescent="0.35">
      <c r="A381" s="3" t="str">
        <f>"92-33"</f>
        <v>92-33</v>
      </c>
      <c r="B381" s="3"/>
      <c r="C381" s="3" t="s">
        <v>1627</v>
      </c>
      <c r="D381" s="3" t="s">
        <v>1628</v>
      </c>
      <c r="E381" s="3" t="s">
        <v>917</v>
      </c>
      <c r="F381" s="3" t="s">
        <v>1629</v>
      </c>
      <c r="G381" s="3" t="s">
        <v>1604</v>
      </c>
      <c r="H381" s="3" t="s">
        <v>83</v>
      </c>
      <c r="I381" s="3" t="s">
        <v>84</v>
      </c>
      <c r="J381" s="3" t="s">
        <v>87</v>
      </c>
      <c r="K381" s="3" t="str">
        <f>"641-352-0117"</f>
        <v>641-352-0117</v>
      </c>
    </row>
    <row r="382" spans="1:11" x14ac:dyDescent="0.35">
      <c r="A382" s="3" t="str">
        <f>"01-33"</f>
        <v>01-33</v>
      </c>
      <c r="B382" s="3"/>
      <c r="C382" s="3" t="s">
        <v>183</v>
      </c>
      <c r="D382" s="3" t="s">
        <v>159</v>
      </c>
      <c r="E382" s="3" t="s">
        <v>160</v>
      </c>
      <c r="F382" s="3" t="s">
        <v>184</v>
      </c>
      <c r="G382" s="3" t="s">
        <v>90</v>
      </c>
      <c r="H382" s="3" t="s">
        <v>89</v>
      </c>
      <c r="I382" s="3" t="s">
        <v>90</v>
      </c>
      <c r="J382" s="3" t="s">
        <v>78</v>
      </c>
      <c r="K382" s="3" t="str">
        <f>"515-246-8016"</f>
        <v>515-246-8016</v>
      </c>
    </row>
    <row r="383" spans="1:11" x14ac:dyDescent="0.35">
      <c r="A383" s="3" t="str">
        <f>"02-02"</f>
        <v>02-02</v>
      </c>
      <c r="B383" s="3"/>
      <c r="C383" s="3" t="s">
        <v>205</v>
      </c>
      <c r="D383" s="3" t="s">
        <v>159</v>
      </c>
      <c r="E383" s="3" t="s">
        <v>160</v>
      </c>
      <c r="F383" s="3" t="s">
        <v>206</v>
      </c>
      <c r="G383" s="3" t="s">
        <v>90</v>
      </c>
      <c r="H383" s="3" t="s">
        <v>89</v>
      </c>
      <c r="I383" s="3" t="s">
        <v>90</v>
      </c>
      <c r="J383" s="3" t="s">
        <v>78</v>
      </c>
      <c r="K383" s="3" t="str">
        <f>"515-246-8016"</f>
        <v>515-246-8016</v>
      </c>
    </row>
    <row r="384" spans="1:11" x14ac:dyDescent="0.35">
      <c r="A384" s="3" t="str">
        <f>"03-02"</f>
        <v>03-02</v>
      </c>
      <c r="B384" s="3"/>
      <c r="C384" s="3" t="s">
        <v>302</v>
      </c>
      <c r="D384" s="3" t="s">
        <v>159</v>
      </c>
      <c r="E384" s="3" t="s">
        <v>160</v>
      </c>
      <c r="F384" s="3" t="s">
        <v>303</v>
      </c>
      <c r="G384" s="3" t="s">
        <v>90</v>
      </c>
      <c r="H384" s="3" t="s">
        <v>89</v>
      </c>
      <c r="I384" s="3" t="s">
        <v>90</v>
      </c>
      <c r="J384" s="3" t="s">
        <v>78</v>
      </c>
      <c r="K384" s="3" t="str">
        <f>"515-246-8016"</f>
        <v>515-246-8016</v>
      </c>
    </row>
    <row r="385" spans="1:11" x14ac:dyDescent="0.35">
      <c r="A385" s="3" t="str">
        <f>"05-01"</f>
        <v>05-01</v>
      </c>
      <c r="B385" s="3"/>
      <c r="C385" s="3" t="s">
        <v>467</v>
      </c>
      <c r="D385" s="3" t="s">
        <v>159</v>
      </c>
      <c r="E385" s="3" t="s">
        <v>160</v>
      </c>
      <c r="F385" s="3" t="s">
        <v>468</v>
      </c>
      <c r="G385" s="3" t="s">
        <v>90</v>
      </c>
      <c r="H385" s="3" t="s">
        <v>89</v>
      </c>
      <c r="I385" s="3" t="s">
        <v>90</v>
      </c>
      <c r="J385" s="3" t="s">
        <v>78</v>
      </c>
      <c r="K385" s="3" t="str">
        <f>"515-246-8016"</f>
        <v>515-246-8016</v>
      </c>
    </row>
    <row r="386" spans="1:11" x14ac:dyDescent="0.35">
      <c r="A386" s="3" t="str">
        <f>"91-06"</f>
        <v>91-06</v>
      </c>
      <c r="B386" s="3"/>
      <c r="C386" s="3" t="s">
        <v>1550</v>
      </c>
      <c r="D386" s="3" t="s">
        <v>1551</v>
      </c>
      <c r="E386" s="3" t="s">
        <v>1552</v>
      </c>
      <c r="F386" s="3" t="s">
        <v>1553</v>
      </c>
      <c r="G386" s="3" t="s">
        <v>1554</v>
      </c>
      <c r="H386" s="3" t="s">
        <v>1553</v>
      </c>
      <c r="I386" s="3" t="s">
        <v>1554</v>
      </c>
      <c r="J386" s="3" t="s">
        <v>87</v>
      </c>
      <c r="K386" s="3" t="str">
        <f>"515-570-3529"</f>
        <v>515-570-3529</v>
      </c>
    </row>
    <row r="387" spans="1:11" x14ac:dyDescent="0.35">
      <c r="A387" s="3" t="str">
        <f>"94-63"</f>
        <v>94-63</v>
      </c>
      <c r="B387" s="3" t="s">
        <v>1731</v>
      </c>
      <c r="C387" s="3" t="s">
        <v>1550</v>
      </c>
      <c r="D387" s="3" t="s">
        <v>1732</v>
      </c>
      <c r="E387" s="3" t="s">
        <v>1733</v>
      </c>
      <c r="F387" s="3" t="s">
        <v>1734</v>
      </c>
      <c r="G387" s="3" t="s">
        <v>42</v>
      </c>
      <c r="H387" s="3" t="s">
        <v>39</v>
      </c>
      <c r="I387" s="3" t="s">
        <v>40</v>
      </c>
      <c r="J387" s="3" t="s">
        <v>44</v>
      </c>
      <c r="K387" s="3" t="str">
        <f>"515-262-5965"</f>
        <v>515-262-5965</v>
      </c>
    </row>
    <row r="388" spans="1:11" x14ac:dyDescent="0.35">
      <c r="A388" s="3" t="str">
        <f>"97-40"</f>
        <v>97-40</v>
      </c>
      <c r="B388" s="3"/>
      <c r="C388" s="3" t="s">
        <v>1856</v>
      </c>
      <c r="D388" s="3" t="s">
        <v>25</v>
      </c>
      <c r="E388" s="3" t="s">
        <v>26</v>
      </c>
      <c r="F388" s="3" t="s">
        <v>1857</v>
      </c>
      <c r="G388" s="3" t="s">
        <v>282</v>
      </c>
      <c r="H388" s="3" t="s">
        <v>266</v>
      </c>
      <c r="I388" s="3" t="s">
        <v>280</v>
      </c>
      <c r="J388" s="3" t="s">
        <v>78</v>
      </c>
      <c r="K388" s="3" t="str">
        <f>"402-952-4599"</f>
        <v>402-952-4599</v>
      </c>
    </row>
    <row r="389" spans="1:11" x14ac:dyDescent="0.35">
      <c r="A389" s="3" t="str">
        <f>"98-07"</f>
        <v>98-07</v>
      </c>
      <c r="B389" s="3"/>
      <c r="C389" s="3" t="s">
        <v>1902</v>
      </c>
      <c r="D389" s="3" t="s">
        <v>25</v>
      </c>
      <c r="E389" s="3" t="s">
        <v>26</v>
      </c>
      <c r="F389" s="3" t="s">
        <v>1857</v>
      </c>
      <c r="G389" s="3" t="s">
        <v>282</v>
      </c>
      <c r="H389" s="3" t="s">
        <v>266</v>
      </c>
      <c r="I389" s="3" t="s">
        <v>1903</v>
      </c>
      <c r="J389" s="3" t="s">
        <v>78</v>
      </c>
      <c r="K389" s="3" t="str">
        <f>"402-952-4599"</f>
        <v>402-952-4599</v>
      </c>
    </row>
    <row r="390" spans="1:11" x14ac:dyDescent="0.35">
      <c r="A390" s="3" t="str">
        <f>"10-10-13"</f>
        <v>10-10-13</v>
      </c>
      <c r="B390" s="3"/>
      <c r="C390" s="3" t="s">
        <v>924</v>
      </c>
      <c r="D390" s="3" t="s">
        <v>159</v>
      </c>
      <c r="E390" s="3" t="s">
        <v>160</v>
      </c>
      <c r="F390" s="3" t="s">
        <v>925</v>
      </c>
      <c r="G390" s="3" t="s">
        <v>926</v>
      </c>
      <c r="H390" s="3" t="s">
        <v>717</v>
      </c>
      <c r="I390" s="3" t="s">
        <v>718</v>
      </c>
      <c r="J390" s="3" t="s">
        <v>31</v>
      </c>
      <c r="K390" s="3" t="str">
        <f>"763-354-5500"</f>
        <v>763-354-5500</v>
      </c>
    </row>
    <row r="391" spans="1:11" x14ac:dyDescent="0.35">
      <c r="A391" s="4" t="str">
        <f>"98-48"</f>
        <v>98-48</v>
      </c>
      <c r="B391" s="4" t="s">
        <v>1947</v>
      </c>
      <c r="C391" s="4" t="s">
        <v>1948</v>
      </c>
      <c r="D391" s="4" t="s">
        <v>229</v>
      </c>
      <c r="E391" s="4" t="s">
        <v>230</v>
      </c>
      <c r="F391" s="4" t="s">
        <v>1949</v>
      </c>
      <c r="G391" s="4" t="s">
        <v>1923</v>
      </c>
      <c r="H391" s="4" t="s">
        <v>246</v>
      </c>
      <c r="I391" s="4" t="s">
        <v>247</v>
      </c>
      <c r="J391" s="4" t="s">
        <v>2064</v>
      </c>
      <c r="K391" s="4" t="str">
        <f>"262-790-4560"</f>
        <v>262-790-4560</v>
      </c>
    </row>
    <row r="392" spans="1:11" x14ac:dyDescent="0.35">
      <c r="A392" s="3" t="str">
        <f>"02-21"</f>
        <v>02-21</v>
      </c>
      <c r="B392" s="3" t="s">
        <v>249</v>
      </c>
      <c r="C392" s="3" t="s">
        <v>250</v>
      </c>
      <c r="D392" s="3" t="s">
        <v>229</v>
      </c>
      <c r="E392" s="3" t="s">
        <v>230</v>
      </c>
      <c r="F392" s="3" t="s">
        <v>251</v>
      </c>
      <c r="G392" s="3" t="s">
        <v>247</v>
      </c>
      <c r="H392" s="3" t="s">
        <v>246</v>
      </c>
      <c r="I392" s="3" t="s">
        <v>247</v>
      </c>
      <c r="J392" s="3" t="s">
        <v>16</v>
      </c>
      <c r="K392" s="3" t="str">
        <f>"262-790-4560"</f>
        <v>262-790-4560</v>
      </c>
    </row>
    <row r="393" spans="1:11" x14ac:dyDescent="0.35">
      <c r="A393" s="3" t="str">
        <f>"12-12-30"</f>
        <v>12-12-30</v>
      </c>
      <c r="B393" s="3"/>
      <c r="C393" s="3" t="s">
        <v>1143</v>
      </c>
      <c r="D393" s="3" t="s">
        <v>436</v>
      </c>
      <c r="E393" s="3" t="s">
        <v>11</v>
      </c>
      <c r="F393" s="3" t="s">
        <v>1144</v>
      </c>
      <c r="G393" s="3" t="s">
        <v>15</v>
      </c>
      <c r="H393" s="3" t="s">
        <v>12</v>
      </c>
      <c r="I393" s="3" t="s">
        <v>13</v>
      </c>
      <c r="J393" s="3" t="s">
        <v>16</v>
      </c>
      <c r="K393" s="3" t="str">
        <f>"608-348-7755"</f>
        <v>608-348-7755</v>
      </c>
    </row>
    <row r="394" spans="1:11" x14ac:dyDescent="0.35">
      <c r="A394" s="3" t="str">
        <f>"99-03"</f>
        <v>99-03</v>
      </c>
      <c r="B394" s="3" t="s">
        <v>2000</v>
      </c>
      <c r="C394" s="3" t="s">
        <v>2001</v>
      </c>
      <c r="D394" s="3" t="s">
        <v>2002</v>
      </c>
      <c r="E394" s="3" t="s">
        <v>2003</v>
      </c>
      <c r="F394" s="3" t="s">
        <v>2004</v>
      </c>
      <c r="G394" s="3" t="s">
        <v>247</v>
      </c>
      <c r="H394" s="3" t="s">
        <v>246</v>
      </c>
      <c r="I394" s="3" t="s">
        <v>247</v>
      </c>
      <c r="J394" s="3" t="s">
        <v>16</v>
      </c>
      <c r="K394" s="3" t="str">
        <f>"262-790-4560"</f>
        <v>262-790-4560</v>
      </c>
    </row>
    <row r="395" spans="1:11" x14ac:dyDescent="0.35">
      <c r="A395" s="3" t="str">
        <f>"17-26"</f>
        <v>17-26</v>
      </c>
      <c r="B395" s="3"/>
      <c r="C395" s="3" t="s">
        <v>1431</v>
      </c>
      <c r="D395" s="3" t="s">
        <v>57</v>
      </c>
      <c r="E395" s="3" t="s">
        <v>58</v>
      </c>
      <c r="F395" s="3" t="s">
        <v>1432</v>
      </c>
      <c r="G395" s="3" t="s">
        <v>1433</v>
      </c>
      <c r="H395" s="3" t="s">
        <v>717</v>
      </c>
      <c r="I395" s="3" t="s">
        <v>718</v>
      </c>
      <c r="J395" s="3" t="s">
        <v>31</v>
      </c>
      <c r="K395" s="3" t="str">
        <f>"763-354-5518"</f>
        <v>763-354-5518</v>
      </c>
    </row>
    <row r="396" spans="1:11" x14ac:dyDescent="0.35">
      <c r="A396" s="3" t="str">
        <f>"99-04"</f>
        <v>99-04</v>
      </c>
      <c r="B396" s="3" t="s">
        <v>2005</v>
      </c>
      <c r="C396" s="3" t="s">
        <v>2006</v>
      </c>
      <c r="D396" s="3" t="s">
        <v>985</v>
      </c>
      <c r="E396" s="3" t="s">
        <v>986</v>
      </c>
      <c r="F396" s="3" t="s">
        <v>2007</v>
      </c>
      <c r="G396" s="3" t="s">
        <v>247</v>
      </c>
      <c r="H396" s="3" t="s">
        <v>246</v>
      </c>
      <c r="I396" s="3" t="s">
        <v>247</v>
      </c>
      <c r="J396" s="3" t="s">
        <v>16</v>
      </c>
      <c r="K396" s="3" t="str">
        <f>"262-790-4560"</f>
        <v>262-790-4560</v>
      </c>
    </row>
    <row r="397" spans="1:11" x14ac:dyDescent="0.35">
      <c r="A397" s="4" t="str">
        <f>"97-35"</f>
        <v>97-35</v>
      </c>
      <c r="B397" s="4" t="s">
        <v>1847</v>
      </c>
      <c r="C397" s="4" t="s">
        <v>1848</v>
      </c>
      <c r="D397" s="4" t="s">
        <v>1299</v>
      </c>
      <c r="E397" s="4" t="s">
        <v>1300</v>
      </c>
      <c r="F397" s="4" t="s">
        <v>1849</v>
      </c>
      <c r="G397" s="4" t="s">
        <v>1850</v>
      </c>
      <c r="H397" s="4" t="s">
        <v>1139</v>
      </c>
      <c r="I397" s="4" t="s">
        <v>1140</v>
      </c>
      <c r="J397" s="4" t="s">
        <v>2064</v>
      </c>
      <c r="K397" s="4" t="str">
        <f>"913-671-3300"</f>
        <v>913-671-3300</v>
      </c>
    </row>
    <row r="398" spans="1:11" x14ac:dyDescent="0.35">
      <c r="A398" s="3" t="str">
        <f>"95-76"</f>
        <v>95-76</v>
      </c>
      <c r="B398" s="3"/>
      <c r="C398" s="3" t="s">
        <v>1781</v>
      </c>
      <c r="D398" s="3" t="s">
        <v>1286</v>
      </c>
      <c r="E398" s="3" t="s">
        <v>142</v>
      </c>
      <c r="F398" s="3" t="s">
        <v>1782</v>
      </c>
      <c r="G398" s="3" t="s">
        <v>1784</v>
      </c>
      <c r="H398" s="3" t="s">
        <v>1782</v>
      </c>
      <c r="I398" s="3" t="s">
        <v>1783</v>
      </c>
      <c r="J398" s="3" t="s">
        <v>78</v>
      </c>
      <c r="K398" s="3" t="str">
        <f>"563-468-1463"</f>
        <v>563-468-1463</v>
      </c>
    </row>
    <row r="399" spans="1:11" x14ac:dyDescent="0.35">
      <c r="A399" s="3" t="str">
        <f>"96-37"</f>
        <v>96-37</v>
      </c>
      <c r="B399" s="3" t="s">
        <v>1792</v>
      </c>
      <c r="C399" s="3" t="s">
        <v>1793</v>
      </c>
      <c r="D399" s="3" t="s">
        <v>1286</v>
      </c>
      <c r="E399" s="3" t="s">
        <v>142</v>
      </c>
      <c r="F399" s="3" t="s">
        <v>1782</v>
      </c>
      <c r="G399" s="3" t="s">
        <v>1784</v>
      </c>
      <c r="H399" s="3" t="s">
        <v>1782</v>
      </c>
      <c r="I399" s="3" t="s">
        <v>1783</v>
      </c>
      <c r="J399" s="3" t="s">
        <v>78</v>
      </c>
      <c r="K399" s="3" t="str">
        <f>"563-468-1463"</f>
        <v>563-468-1463</v>
      </c>
    </row>
    <row r="400" spans="1:11" x14ac:dyDescent="0.35">
      <c r="A400" s="3" t="str">
        <f>"90-47"</f>
        <v>90-47</v>
      </c>
      <c r="B400" s="3"/>
      <c r="C400" s="3" t="s">
        <v>1516</v>
      </c>
      <c r="D400" s="3" t="s">
        <v>65</v>
      </c>
      <c r="E400" s="3" t="s">
        <v>66</v>
      </c>
      <c r="F400" s="3" t="s">
        <v>1517</v>
      </c>
      <c r="G400" s="3" t="s">
        <v>108</v>
      </c>
      <c r="H400" s="3" t="s">
        <v>105</v>
      </c>
      <c r="I400" s="3" t="s">
        <v>106</v>
      </c>
      <c r="J400" s="3" t="s">
        <v>87</v>
      </c>
      <c r="K400" s="3" t="str">
        <f>"712-240-2188"</f>
        <v>712-240-2188</v>
      </c>
    </row>
    <row r="401" spans="1:11" x14ac:dyDescent="0.35">
      <c r="A401" s="4" t="str">
        <f>"99-52"</f>
        <v>99-52</v>
      </c>
      <c r="B401" s="4"/>
      <c r="C401" s="4" t="s">
        <v>2024</v>
      </c>
      <c r="D401" s="4" t="s">
        <v>166</v>
      </c>
      <c r="E401" s="4" t="s">
        <v>167</v>
      </c>
      <c r="F401" s="4" t="s">
        <v>2025</v>
      </c>
      <c r="G401" s="4" t="s">
        <v>247</v>
      </c>
      <c r="H401" s="4" t="s">
        <v>246</v>
      </c>
      <c r="I401" s="4" t="s">
        <v>247</v>
      </c>
      <c r="J401" s="4" t="s">
        <v>2064</v>
      </c>
      <c r="K401" s="4" t="str">
        <f>"262-790-4560"</f>
        <v>262-790-4560</v>
      </c>
    </row>
    <row r="402" spans="1:11" x14ac:dyDescent="0.35">
      <c r="A402" s="3" t="str">
        <f>"98-43"</f>
        <v>98-43</v>
      </c>
      <c r="B402" s="3"/>
      <c r="C402" s="3" t="s">
        <v>1941</v>
      </c>
      <c r="D402" s="3" t="s">
        <v>52</v>
      </c>
      <c r="E402" s="3" t="s">
        <v>38</v>
      </c>
      <c r="F402" s="3" t="s">
        <v>213</v>
      </c>
      <c r="G402" s="3" t="s">
        <v>214</v>
      </c>
      <c r="H402" s="3" t="s">
        <v>213</v>
      </c>
      <c r="I402" s="3" t="s">
        <v>214</v>
      </c>
      <c r="J402" s="3" t="s">
        <v>78</v>
      </c>
      <c r="K402" s="3" t="str">
        <f>"712-899-0601"</f>
        <v>712-899-0601</v>
      </c>
    </row>
    <row r="403" spans="1:11" x14ac:dyDescent="0.35">
      <c r="A403" s="3" t="str">
        <f>"01-28"</f>
        <v>01-28</v>
      </c>
      <c r="B403" s="3"/>
      <c r="C403" s="3" t="s">
        <v>165</v>
      </c>
      <c r="D403" s="3" t="s">
        <v>166</v>
      </c>
      <c r="E403" s="3" t="s">
        <v>167</v>
      </c>
      <c r="F403" s="3" t="s">
        <v>170</v>
      </c>
      <c r="G403" s="3" t="s">
        <v>171</v>
      </c>
      <c r="H403" s="3" t="s">
        <v>168</v>
      </c>
      <c r="I403" s="3" t="s">
        <v>169</v>
      </c>
      <c r="J403" s="3" t="s">
        <v>87</v>
      </c>
      <c r="K403" s="3" t="str">
        <f>"402-963-9099"</f>
        <v>402-963-9099</v>
      </c>
    </row>
    <row r="404" spans="1:11" x14ac:dyDescent="0.35">
      <c r="A404" s="3" t="str">
        <f>"01-29"</f>
        <v>01-29</v>
      </c>
      <c r="B404" s="3"/>
      <c r="C404" s="3" t="s">
        <v>172</v>
      </c>
      <c r="D404" s="3" t="s">
        <v>173</v>
      </c>
      <c r="E404" s="3" t="s">
        <v>174</v>
      </c>
      <c r="F404" s="3" t="s">
        <v>176</v>
      </c>
      <c r="G404" s="3" t="s">
        <v>171</v>
      </c>
      <c r="H404" s="3" t="s">
        <v>168</v>
      </c>
      <c r="I404" s="3" t="s">
        <v>175</v>
      </c>
      <c r="J404" s="3" t="s">
        <v>87</v>
      </c>
      <c r="K404" s="3" t="str">
        <f>"402-963-9099"</f>
        <v>402-963-9099</v>
      </c>
    </row>
    <row r="405" spans="1:11" x14ac:dyDescent="0.35">
      <c r="A405" s="3" t="str">
        <f>"06-21"</f>
        <v>06-21</v>
      </c>
      <c r="B405" s="3" t="s">
        <v>595</v>
      </c>
      <c r="C405" s="3" t="s">
        <v>596</v>
      </c>
      <c r="D405" s="3" t="s">
        <v>159</v>
      </c>
      <c r="E405" s="3" t="s">
        <v>160</v>
      </c>
      <c r="F405" s="3" t="s">
        <v>597</v>
      </c>
      <c r="G405" s="3" t="s">
        <v>162</v>
      </c>
      <c r="H405" s="3" t="s">
        <v>161</v>
      </c>
      <c r="I405" s="3" t="s">
        <v>162</v>
      </c>
      <c r="J405" s="3" t="s">
        <v>31</v>
      </c>
      <c r="K405" s="3" t="str">
        <f>"515-244-8308"</f>
        <v>515-244-8308</v>
      </c>
    </row>
    <row r="406" spans="1:11" x14ac:dyDescent="0.35">
      <c r="A406" s="3" t="str">
        <f>"12-12-24"</f>
        <v>12-12-24</v>
      </c>
      <c r="B406" s="3"/>
      <c r="C406" s="3" t="s">
        <v>1132</v>
      </c>
      <c r="D406" s="3" t="s">
        <v>159</v>
      </c>
      <c r="E406" s="3" t="s">
        <v>160</v>
      </c>
      <c r="F406" s="3" t="s">
        <v>1133</v>
      </c>
      <c r="G406" s="3" t="s">
        <v>1134</v>
      </c>
      <c r="H406" s="3" t="s">
        <v>704</v>
      </c>
      <c r="I406" s="3" t="s">
        <v>705</v>
      </c>
      <c r="J406" s="3" t="s">
        <v>31</v>
      </c>
      <c r="K406" s="3" t="str">
        <f>"515-246-1500"</f>
        <v>515-246-1500</v>
      </c>
    </row>
    <row r="407" spans="1:11" x14ac:dyDescent="0.35">
      <c r="A407" s="3" t="str">
        <f>"92-22"</f>
        <v>92-22</v>
      </c>
      <c r="B407" s="3"/>
      <c r="C407" s="3" t="s">
        <v>1617</v>
      </c>
      <c r="D407" s="3" t="s">
        <v>1618</v>
      </c>
      <c r="E407" s="3" t="s">
        <v>950</v>
      </c>
      <c r="F407" s="3" t="s">
        <v>1619</v>
      </c>
      <c r="G407" s="3" t="s">
        <v>108</v>
      </c>
      <c r="H407" s="3" t="s">
        <v>105</v>
      </c>
      <c r="I407" s="3" t="s">
        <v>106</v>
      </c>
      <c r="J407" s="3" t="s">
        <v>87</v>
      </c>
      <c r="K407" s="3" t="str">
        <f>"712-240-2188"</f>
        <v>712-240-2188</v>
      </c>
    </row>
    <row r="408" spans="1:11" x14ac:dyDescent="0.35">
      <c r="A408" s="3" t="str">
        <f>"14-14-2"</f>
        <v>14-14-2</v>
      </c>
      <c r="B408" s="3" t="s">
        <v>1249</v>
      </c>
      <c r="C408" s="3" t="s">
        <v>1250</v>
      </c>
      <c r="D408" s="3" t="s">
        <v>1251</v>
      </c>
      <c r="E408" s="3" t="s">
        <v>1252</v>
      </c>
      <c r="F408" s="3" t="s">
        <v>1255</v>
      </c>
      <c r="G408" s="3" t="s">
        <v>1256</v>
      </c>
      <c r="H408" s="3" t="s">
        <v>1253</v>
      </c>
      <c r="I408" s="3" t="s">
        <v>1254</v>
      </c>
      <c r="J408" s="3" t="s">
        <v>87</v>
      </c>
      <c r="K408" s="3" t="str">
        <f>"402-434-3344"</f>
        <v>402-434-3344</v>
      </c>
    </row>
    <row r="409" spans="1:11" x14ac:dyDescent="0.35">
      <c r="A409" s="3" t="str">
        <f>"13-13-42"</f>
        <v>13-13-42</v>
      </c>
      <c r="B409" s="3" t="s">
        <v>1221</v>
      </c>
      <c r="C409" s="3" t="s">
        <v>1222</v>
      </c>
      <c r="D409" s="3" t="s">
        <v>1223</v>
      </c>
      <c r="E409" s="3" t="s">
        <v>1053</v>
      </c>
      <c r="F409" s="3" t="s">
        <v>1216</v>
      </c>
      <c r="G409" s="3" t="s">
        <v>1103</v>
      </c>
      <c r="H409" s="3" t="s">
        <v>59</v>
      </c>
      <c r="I409" s="3" t="s">
        <v>60</v>
      </c>
      <c r="J409" s="3" t="s">
        <v>44</v>
      </c>
      <c r="K409" s="3" t="str">
        <f>"712-262-5640"</f>
        <v>712-262-5640</v>
      </c>
    </row>
    <row r="410" spans="1:11" x14ac:dyDescent="0.35">
      <c r="A410" s="3" t="str">
        <f>"98-40"</f>
        <v>98-40</v>
      </c>
      <c r="B410" s="3"/>
      <c r="C410" s="3" t="s">
        <v>1938</v>
      </c>
      <c r="D410" s="3" t="s">
        <v>1556</v>
      </c>
      <c r="E410" s="3" t="s">
        <v>1557</v>
      </c>
      <c r="F410" s="3" t="s">
        <v>1939</v>
      </c>
      <c r="G410" s="3" t="s">
        <v>1940</v>
      </c>
      <c r="H410" s="3" t="s">
        <v>105</v>
      </c>
      <c r="I410" s="3" t="s">
        <v>106</v>
      </c>
      <c r="J410" s="3" t="s">
        <v>87</v>
      </c>
      <c r="K410" s="3" t="str">
        <f>"712-580-5360"</f>
        <v>712-580-5360</v>
      </c>
    </row>
    <row r="411" spans="1:11" x14ac:dyDescent="0.35">
      <c r="A411" s="3" t="str">
        <f>"03-31"</f>
        <v>03-31</v>
      </c>
      <c r="B411" s="3" t="s">
        <v>344</v>
      </c>
      <c r="C411" s="3" t="s">
        <v>345</v>
      </c>
      <c r="D411" s="3" t="s">
        <v>346</v>
      </c>
      <c r="E411" s="3" t="s">
        <v>347</v>
      </c>
      <c r="F411" s="3" t="s">
        <v>348</v>
      </c>
      <c r="G411" s="3" t="s">
        <v>42</v>
      </c>
      <c r="H411" s="3" t="s">
        <v>39</v>
      </c>
      <c r="I411" s="3" t="s">
        <v>40</v>
      </c>
      <c r="J411" s="3" t="s">
        <v>44</v>
      </c>
      <c r="K411" s="3" t="str">
        <f>"515-262-5965"</f>
        <v>515-262-5965</v>
      </c>
    </row>
    <row r="412" spans="1:11" x14ac:dyDescent="0.35">
      <c r="A412" s="3" t="str">
        <f>"10-10-256"</f>
        <v>10-10-256</v>
      </c>
      <c r="B412" s="3"/>
      <c r="C412" s="3" t="s">
        <v>989</v>
      </c>
      <c r="D412" s="3" t="s">
        <v>415</v>
      </c>
      <c r="E412" s="3" t="s">
        <v>82</v>
      </c>
      <c r="F412" s="3" t="s">
        <v>990</v>
      </c>
      <c r="G412" s="3" t="s">
        <v>991</v>
      </c>
      <c r="H412" s="3" t="s">
        <v>83</v>
      </c>
      <c r="I412" s="3" t="s">
        <v>84</v>
      </c>
      <c r="J412" s="3" t="s">
        <v>87</v>
      </c>
      <c r="K412" s="3" t="str">
        <f>"913-492-7800"</f>
        <v>913-492-7800</v>
      </c>
    </row>
    <row r="413" spans="1:11" x14ac:dyDescent="0.35">
      <c r="A413" s="3" t="str">
        <f>"12-12-48"</f>
        <v>12-12-48</v>
      </c>
      <c r="B413" s="3" t="s">
        <v>1155</v>
      </c>
      <c r="C413" s="3" t="s">
        <v>1156</v>
      </c>
      <c r="D413" s="3" t="s">
        <v>1157</v>
      </c>
      <c r="E413" s="3" t="s">
        <v>167</v>
      </c>
      <c r="F413" s="3" t="s">
        <v>1158</v>
      </c>
      <c r="G413" s="3" t="s">
        <v>705</v>
      </c>
      <c r="H413" s="3" t="s">
        <v>704</v>
      </c>
      <c r="I413" s="3" t="s">
        <v>705</v>
      </c>
      <c r="J413" s="3" t="s">
        <v>31</v>
      </c>
      <c r="K413" s="3" t="str">
        <f>"515-490-9001"</f>
        <v>515-490-9001</v>
      </c>
    </row>
    <row r="414" spans="1:11" x14ac:dyDescent="0.35">
      <c r="A414" s="3" t="str">
        <f>"95-51"</f>
        <v>95-51</v>
      </c>
      <c r="B414" s="3" t="s">
        <v>1773</v>
      </c>
      <c r="C414" s="3" t="s">
        <v>1774</v>
      </c>
      <c r="D414" s="3" t="s">
        <v>422</v>
      </c>
      <c r="E414" s="3" t="s">
        <v>423</v>
      </c>
      <c r="F414" s="3" t="s">
        <v>1775</v>
      </c>
      <c r="G414" s="3" t="s">
        <v>988</v>
      </c>
      <c r="H414" s="3" t="s">
        <v>105</v>
      </c>
      <c r="I414" s="3" t="s">
        <v>106</v>
      </c>
      <c r="J414" s="3" t="s">
        <v>87</v>
      </c>
      <c r="K414" s="3" t="str">
        <f>"515-223-1113"</f>
        <v>515-223-1113</v>
      </c>
    </row>
    <row r="415" spans="1:11" x14ac:dyDescent="0.35">
      <c r="A415" s="3" t="str">
        <f>"10-10-20"</f>
        <v>10-10-20</v>
      </c>
      <c r="B415" s="3"/>
      <c r="C415" s="3" t="s">
        <v>935</v>
      </c>
      <c r="D415" s="3" t="s">
        <v>159</v>
      </c>
      <c r="E415" s="3" t="s">
        <v>160</v>
      </c>
      <c r="F415" s="3" t="s">
        <v>936</v>
      </c>
      <c r="G415" s="3" t="s">
        <v>926</v>
      </c>
      <c r="H415" s="3" t="s">
        <v>717</v>
      </c>
      <c r="I415" s="3" t="s">
        <v>718</v>
      </c>
      <c r="J415" s="3" t="s">
        <v>31</v>
      </c>
      <c r="K415" s="3" t="str">
        <f>"763-354-5500"</f>
        <v>763-354-5500</v>
      </c>
    </row>
    <row r="416" spans="1:11" x14ac:dyDescent="0.35">
      <c r="A416" s="3" t="str">
        <f>"95-04"</f>
        <v>95-04</v>
      </c>
      <c r="B416" s="3"/>
      <c r="C416" s="3" t="s">
        <v>1735</v>
      </c>
      <c r="D416" s="3" t="s">
        <v>52</v>
      </c>
      <c r="E416" s="3" t="s">
        <v>38</v>
      </c>
      <c r="F416" s="3" t="s">
        <v>1738</v>
      </c>
      <c r="G416" s="3" t="s">
        <v>1739</v>
      </c>
      <c r="H416" s="3" t="s">
        <v>1736</v>
      </c>
      <c r="I416" s="3" t="s">
        <v>1737</v>
      </c>
      <c r="J416" s="3" t="s">
        <v>31</v>
      </c>
      <c r="K416" s="3" t="str">
        <f>"712-258-3251"</f>
        <v>712-258-3251</v>
      </c>
    </row>
    <row r="417" spans="1:11" x14ac:dyDescent="0.35">
      <c r="A417" s="3" t="str">
        <f>"03-11"</f>
        <v>03-11</v>
      </c>
      <c r="B417" s="3" t="s">
        <v>306</v>
      </c>
      <c r="C417" s="3" t="s">
        <v>307</v>
      </c>
      <c r="D417" s="3" t="s">
        <v>308</v>
      </c>
      <c r="E417" s="3" t="s">
        <v>309</v>
      </c>
      <c r="F417" s="3" t="s">
        <v>311</v>
      </c>
      <c r="G417" s="3" t="s">
        <v>274</v>
      </c>
      <c r="H417" s="3" t="s">
        <v>310</v>
      </c>
      <c r="I417" s="3" t="s">
        <v>274</v>
      </c>
      <c r="J417" s="3" t="s">
        <v>78</v>
      </c>
      <c r="K417" s="3" t="str">
        <f>"712-546-6003"</f>
        <v>712-546-6003</v>
      </c>
    </row>
    <row r="418" spans="1:11" x14ac:dyDescent="0.35">
      <c r="A418" s="3" t="str">
        <f>"05-27"</f>
        <v>05-27</v>
      </c>
      <c r="B418" s="3" t="s">
        <v>507</v>
      </c>
      <c r="C418" s="3" t="s">
        <v>307</v>
      </c>
      <c r="D418" s="3" t="s">
        <v>52</v>
      </c>
      <c r="E418" s="3" t="s">
        <v>38</v>
      </c>
      <c r="F418" s="3" t="s">
        <v>508</v>
      </c>
      <c r="G418" s="3" t="s">
        <v>274</v>
      </c>
      <c r="H418" s="3" t="s">
        <v>310</v>
      </c>
      <c r="I418" s="3" t="s">
        <v>274</v>
      </c>
      <c r="J418" s="3" t="s">
        <v>78</v>
      </c>
      <c r="K418" s="3" t="str">
        <f>"712-546-6003"</f>
        <v>712-546-6003</v>
      </c>
    </row>
    <row r="419" spans="1:11" x14ac:dyDescent="0.35">
      <c r="A419" s="3" t="str">
        <f>"06-19"</f>
        <v>06-19</v>
      </c>
      <c r="B419" s="3"/>
      <c r="C419" s="3" t="s">
        <v>586</v>
      </c>
      <c r="D419" s="3" t="s">
        <v>25</v>
      </c>
      <c r="E419" s="3" t="s">
        <v>26</v>
      </c>
      <c r="F419" s="3" t="s">
        <v>587</v>
      </c>
      <c r="G419" s="3" t="s">
        <v>588</v>
      </c>
      <c r="H419" s="3" t="s">
        <v>266</v>
      </c>
      <c r="I419" s="3" t="s">
        <v>280</v>
      </c>
      <c r="J419" s="3" t="s">
        <v>78</v>
      </c>
      <c r="K419" s="3" t="str">
        <f>"712-546-6003"</f>
        <v>712-546-6003</v>
      </c>
    </row>
    <row r="420" spans="1:11" x14ac:dyDescent="0.35">
      <c r="A420" s="4" t="str">
        <f>"97-59"</f>
        <v>97-59</v>
      </c>
      <c r="B420" s="4" t="s">
        <v>1869</v>
      </c>
      <c r="C420" s="4" t="s">
        <v>1870</v>
      </c>
      <c r="D420" s="4" t="s">
        <v>1325</v>
      </c>
      <c r="E420" s="4" t="s">
        <v>82</v>
      </c>
      <c r="F420" s="4" t="s">
        <v>1871</v>
      </c>
      <c r="G420" s="4" t="s">
        <v>1850</v>
      </c>
      <c r="H420" s="4" t="s">
        <v>1139</v>
      </c>
      <c r="I420" s="4" t="s">
        <v>1140</v>
      </c>
      <c r="J420" s="4" t="s">
        <v>2064</v>
      </c>
      <c r="K420" s="4" t="str">
        <f>"913-671-3300"</f>
        <v>913-671-3300</v>
      </c>
    </row>
    <row r="421" spans="1:11" x14ac:dyDescent="0.35">
      <c r="A421" s="3" t="str">
        <f>"92-02"</f>
        <v>92-02</v>
      </c>
      <c r="B421" s="3"/>
      <c r="C421" s="3" t="s">
        <v>1605</v>
      </c>
      <c r="D421" s="3" t="s">
        <v>1606</v>
      </c>
      <c r="E421" s="3" t="s">
        <v>111</v>
      </c>
      <c r="F421" s="3" t="s">
        <v>1609</v>
      </c>
      <c r="G421" s="3" t="s">
        <v>1609</v>
      </c>
      <c r="H421" s="3" t="s">
        <v>1607</v>
      </c>
      <c r="I421" s="3" t="s">
        <v>1608</v>
      </c>
      <c r="J421" s="3" t="s">
        <v>87</v>
      </c>
      <c r="K421" s="3" t="str">
        <f>"319-423-8661"</f>
        <v>319-423-8661</v>
      </c>
    </row>
    <row r="422" spans="1:11" x14ac:dyDescent="0.35">
      <c r="A422" s="3" t="str">
        <f>"08-24"</f>
        <v>08-24</v>
      </c>
      <c r="B422" s="3"/>
      <c r="C422" s="3" t="s">
        <v>824</v>
      </c>
      <c r="D422" s="3" t="s">
        <v>825</v>
      </c>
      <c r="E422" s="3" t="s">
        <v>826</v>
      </c>
      <c r="F422" s="3" t="s">
        <v>827</v>
      </c>
      <c r="G422" s="3" t="s">
        <v>108</v>
      </c>
      <c r="H422" s="3" t="s">
        <v>83</v>
      </c>
      <c r="I422" s="3" t="s">
        <v>84</v>
      </c>
      <c r="J422" s="3" t="s">
        <v>87</v>
      </c>
      <c r="K422" s="3" t="str">
        <f>"712-580-5360"</f>
        <v>712-580-5360</v>
      </c>
    </row>
    <row r="423" spans="1:11" x14ac:dyDescent="0.35">
      <c r="A423" s="3" t="str">
        <f>"00-25"</f>
        <v>00-25</v>
      </c>
      <c r="B423" s="3"/>
      <c r="C423" s="3" t="s">
        <v>73</v>
      </c>
      <c r="D423" s="3" t="s">
        <v>57</v>
      </c>
      <c r="E423" s="3" t="s">
        <v>58</v>
      </c>
      <c r="F423" s="3" t="s">
        <v>76</v>
      </c>
      <c r="G423" s="3" t="s">
        <v>77</v>
      </c>
      <c r="H423" s="3" t="s">
        <v>74</v>
      </c>
      <c r="I423" s="3" t="s">
        <v>75</v>
      </c>
      <c r="J423" s="3" t="s">
        <v>78</v>
      </c>
      <c r="K423" s="3" t="str">
        <f>"402-488-1666"</f>
        <v>402-488-1666</v>
      </c>
    </row>
    <row r="424" spans="1:11" x14ac:dyDescent="0.35">
      <c r="A424" s="3" t="str">
        <f>"98-60"</f>
        <v>98-60</v>
      </c>
      <c r="B424" s="3" t="s">
        <v>1955</v>
      </c>
      <c r="C424" s="3" t="s">
        <v>1956</v>
      </c>
      <c r="D424" s="3" t="s">
        <v>57</v>
      </c>
      <c r="E424" s="3" t="s">
        <v>58</v>
      </c>
      <c r="F424" s="3" t="s">
        <v>1957</v>
      </c>
      <c r="G424" s="3" t="s">
        <v>77</v>
      </c>
      <c r="H424" s="3" t="s">
        <v>74</v>
      </c>
      <c r="I424" s="3" t="s">
        <v>75</v>
      </c>
      <c r="J424" s="3" t="s">
        <v>78</v>
      </c>
      <c r="K424" s="3" t="str">
        <f>"402-488-1666"</f>
        <v>402-488-1666</v>
      </c>
    </row>
    <row r="425" spans="1:11" x14ac:dyDescent="0.35">
      <c r="A425" s="3" t="str">
        <f>"14-14-13"</f>
        <v>14-14-13</v>
      </c>
      <c r="B425" s="3"/>
      <c r="C425" s="3" t="s">
        <v>1242</v>
      </c>
      <c r="D425" s="3" t="s">
        <v>1243</v>
      </c>
      <c r="E425" s="3" t="s">
        <v>1244</v>
      </c>
      <c r="F425" s="3" t="s">
        <v>1245</v>
      </c>
      <c r="G425" s="3" t="s">
        <v>108</v>
      </c>
      <c r="H425" s="3" t="s">
        <v>83</v>
      </c>
      <c r="I425" s="3" t="s">
        <v>84</v>
      </c>
      <c r="J425" s="3" t="s">
        <v>87</v>
      </c>
      <c r="K425" s="3" t="str">
        <f>"712-580-5360"</f>
        <v>712-580-5360</v>
      </c>
    </row>
    <row r="426" spans="1:11" x14ac:dyDescent="0.35">
      <c r="A426" s="3" t="str">
        <f>"04-42"</f>
        <v>04-42</v>
      </c>
      <c r="B426" s="3" t="s">
        <v>425</v>
      </c>
      <c r="C426" s="3" t="s">
        <v>426</v>
      </c>
      <c r="D426" s="3" t="s">
        <v>427</v>
      </c>
      <c r="E426" s="3" t="s">
        <v>111</v>
      </c>
      <c r="F426" s="3" t="s">
        <v>428</v>
      </c>
      <c r="G426" s="3" t="s">
        <v>42</v>
      </c>
      <c r="H426" s="3" t="s">
        <v>39</v>
      </c>
      <c r="I426" s="3" t="s">
        <v>40</v>
      </c>
      <c r="J426" s="3" t="s">
        <v>44</v>
      </c>
      <c r="K426" s="3" t="str">
        <f>"515-262-5965"</f>
        <v>515-262-5965</v>
      </c>
    </row>
    <row r="427" spans="1:11" x14ac:dyDescent="0.35">
      <c r="A427" s="3" t="str">
        <f>"98-74"</f>
        <v>98-74</v>
      </c>
      <c r="B427" s="3" t="s">
        <v>1972</v>
      </c>
      <c r="C427" s="3" t="s">
        <v>1973</v>
      </c>
      <c r="D427" s="3" t="s">
        <v>1974</v>
      </c>
      <c r="E427" s="3" t="s">
        <v>950</v>
      </c>
      <c r="F427" s="3" t="s">
        <v>1975</v>
      </c>
      <c r="G427" s="3" t="s">
        <v>77</v>
      </c>
      <c r="H427" s="3" t="s">
        <v>74</v>
      </c>
      <c r="I427" s="3" t="s">
        <v>75</v>
      </c>
      <c r="J427" s="3" t="s">
        <v>78</v>
      </c>
      <c r="K427" s="3" t="str">
        <f>"402-488-1666"</f>
        <v>402-488-1666</v>
      </c>
    </row>
    <row r="428" spans="1:11" x14ac:dyDescent="0.35">
      <c r="A428" s="3" t="s">
        <v>373</v>
      </c>
      <c r="B428" s="3" t="s">
        <v>373</v>
      </c>
      <c r="C428" s="3" t="s">
        <v>374</v>
      </c>
      <c r="D428" s="3" t="s">
        <v>375</v>
      </c>
      <c r="E428" s="3" t="s">
        <v>376</v>
      </c>
      <c r="F428" s="3" t="s">
        <v>377</v>
      </c>
      <c r="G428" s="3" t="s">
        <v>62</v>
      </c>
      <c r="H428" s="3" t="s">
        <v>59</v>
      </c>
      <c r="I428" s="3" t="s">
        <v>60</v>
      </c>
      <c r="J428" s="3" t="s">
        <v>44</v>
      </c>
      <c r="K428" s="3" t="str">
        <f>"319-338-7600"</f>
        <v>319-338-7600</v>
      </c>
    </row>
    <row r="429" spans="1:11" x14ac:dyDescent="0.35">
      <c r="A429" s="3" t="str">
        <f>"02-10"</f>
        <v>02-10</v>
      </c>
      <c r="B429" s="3" t="s">
        <v>216</v>
      </c>
      <c r="C429" s="3" t="s">
        <v>217</v>
      </c>
      <c r="D429" s="3" t="s">
        <v>149</v>
      </c>
      <c r="E429" s="3" t="s">
        <v>150</v>
      </c>
      <c r="F429" s="3" t="s">
        <v>218</v>
      </c>
      <c r="G429" s="3" t="s">
        <v>62</v>
      </c>
      <c r="H429" s="3" t="s">
        <v>59</v>
      </c>
      <c r="I429" s="3" t="s">
        <v>60</v>
      </c>
      <c r="J429" s="3" t="s">
        <v>44</v>
      </c>
      <c r="K429" s="3" t="str">
        <f>"319-338-7600"</f>
        <v>319-338-7600</v>
      </c>
    </row>
    <row r="430" spans="1:11" x14ac:dyDescent="0.35">
      <c r="A430" s="3" t="str">
        <f>"02-15"</f>
        <v>02-15</v>
      </c>
      <c r="B430" s="3" t="s">
        <v>227</v>
      </c>
      <c r="C430" s="3" t="s">
        <v>228</v>
      </c>
      <c r="D430" s="3" t="s">
        <v>229</v>
      </c>
      <c r="E430" s="3" t="s">
        <v>230</v>
      </c>
      <c r="F430" s="3" t="s">
        <v>231</v>
      </c>
      <c r="G430" s="3" t="s">
        <v>42</v>
      </c>
      <c r="H430" s="3" t="s">
        <v>39</v>
      </c>
      <c r="I430" s="3" t="s">
        <v>40</v>
      </c>
      <c r="J430" s="3" t="s">
        <v>44</v>
      </c>
      <c r="K430" s="3" t="str">
        <f>"515-262-5965"</f>
        <v>515-262-5965</v>
      </c>
    </row>
    <row r="431" spans="1:11" x14ac:dyDescent="0.35">
      <c r="A431" s="3" t="str">
        <f>"01-22"</f>
        <v>01-22</v>
      </c>
      <c r="B431" s="3" t="s">
        <v>147</v>
      </c>
      <c r="C431" s="3" t="s">
        <v>148</v>
      </c>
      <c r="D431" s="3" t="s">
        <v>149</v>
      </c>
      <c r="E431" s="3" t="s">
        <v>150</v>
      </c>
      <c r="F431" s="3" t="s">
        <v>151</v>
      </c>
      <c r="G431" s="3" t="s">
        <v>62</v>
      </c>
      <c r="H431" s="3" t="s">
        <v>59</v>
      </c>
      <c r="I431" s="3" t="s">
        <v>60</v>
      </c>
      <c r="J431" s="3" t="s">
        <v>44</v>
      </c>
      <c r="K431" s="3" t="str">
        <f>"319-338-7600"</f>
        <v>319-338-7600</v>
      </c>
    </row>
    <row r="432" spans="1:11" x14ac:dyDescent="0.35">
      <c r="A432" s="3" t="str">
        <f>"13-13-1"</f>
        <v>13-13-1</v>
      </c>
      <c r="B432" s="3" t="s">
        <v>1183</v>
      </c>
      <c r="C432" s="3" t="s">
        <v>1184</v>
      </c>
      <c r="D432" s="3" t="s">
        <v>1185</v>
      </c>
      <c r="E432" s="3" t="s">
        <v>48</v>
      </c>
      <c r="F432" s="3" t="s">
        <v>1186</v>
      </c>
      <c r="G432" s="3" t="s">
        <v>42</v>
      </c>
      <c r="H432" s="3" t="s">
        <v>39</v>
      </c>
      <c r="I432" s="3" t="s">
        <v>40</v>
      </c>
      <c r="J432" s="3" t="s">
        <v>44</v>
      </c>
      <c r="K432" s="3" t="str">
        <f>"515-262-5965"</f>
        <v>515-262-5965</v>
      </c>
    </row>
    <row r="433" spans="1:11" x14ac:dyDescent="0.35">
      <c r="A433" s="3" t="str">
        <f>"01-37"</f>
        <v>01-37</v>
      </c>
      <c r="B433" s="3"/>
      <c r="C433" s="3" t="s">
        <v>185</v>
      </c>
      <c r="D433" s="3" t="s">
        <v>159</v>
      </c>
      <c r="E433" s="3" t="s">
        <v>160</v>
      </c>
      <c r="F433" s="3" t="s">
        <v>186</v>
      </c>
      <c r="G433" s="3" t="s">
        <v>162</v>
      </c>
      <c r="H433" s="3" t="s">
        <v>161</v>
      </c>
      <c r="I433" s="3" t="s">
        <v>162</v>
      </c>
      <c r="J433" s="3" t="s">
        <v>31</v>
      </c>
      <c r="K433" s="3" t="str">
        <f>"515-244-8308"</f>
        <v>515-244-8308</v>
      </c>
    </row>
    <row r="434" spans="1:11" x14ac:dyDescent="0.35">
      <c r="A434" s="3" t="str">
        <f>"17-30"</f>
        <v>17-30</v>
      </c>
      <c r="B434" s="3"/>
      <c r="C434" s="3" t="s">
        <v>1436</v>
      </c>
      <c r="D434" s="3" t="s">
        <v>25</v>
      </c>
      <c r="E434" s="3" t="s">
        <v>26</v>
      </c>
      <c r="F434" s="3" t="s">
        <v>1437</v>
      </c>
      <c r="G434" s="3" t="s">
        <v>1438</v>
      </c>
      <c r="H434" s="3" t="s">
        <v>717</v>
      </c>
      <c r="I434" s="3" t="s">
        <v>718</v>
      </c>
      <c r="J434" s="3" t="s">
        <v>31</v>
      </c>
      <c r="K434" s="3" t="str">
        <f>"763-354-5634"</f>
        <v>763-354-5634</v>
      </c>
    </row>
    <row r="435" spans="1:11" x14ac:dyDescent="0.35">
      <c r="A435" s="3" t="str">
        <f>"10-10-247"</f>
        <v>10-10-247</v>
      </c>
      <c r="B435" s="3"/>
      <c r="C435" s="3" t="s">
        <v>978</v>
      </c>
      <c r="D435" s="3" t="s">
        <v>159</v>
      </c>
      <c r="E435" s="3" t="s">
        <v>160</v>
      </c>
      <c r="F435" s="3" t="s">
        <v>979</v>
      </c>
      <c r="G435" s="3" t="s">
        <v>442</v>
      </c>
      <c r="H435" s="3" t="s">
        <v>439</v>
      </c>
      <c r="I435" s="3" t="s">
        <v>440</v>
      </c>
      <c r="J435" s="3" t="s">
        <v>87</v>
      </c>
      <c r="K435" s="3" t="str">
        <f>"515-280-2053"</f>
        <v>515-280-2053</v>
      </c>
    </row>
    <row r="436" spans="1:11" x14ac:dyDescent="0.35">
      <c r="A436" s="3" t="str">
        <f>"00-21"</f>
        <v>00-21</v>
      </c>
      <c r="B436" s="3" t="s">
        <v>50</v>
      </c>
      <c r="C436" s="3" t="s">
        <v>51</v>
      </c>
      <c r="D436" s="3" t="s">
        <v>52</v>
      </c>
      <c r="E436" s="3" t="s">
        <v>38</v>
      </c>
      <c r="F436" s="3" t="s">
        <v>53</v>
      </c>
      <c r="G436" s="3" t="s">
        <v>54</v>
      </c>
      <c r="H436" s="3" t="s">
        <v>39</v>
      </c>
      <c r="I436" s="3" t="s">
        <v>40</v>
      </c>
      <c r="J436" s="3" t="s">
        <v>44</v>
      </c>
      <c r="K436" s="3" t="str">
        <f>"712-252-5859"</f>
        <v>712-252-5859</v>
      </c>
    </row>
    <row r="437" spans="1:11" x14ac:dyDescent="0.35">
      <c r="A437" s="3" t="str">
        <f>"07-14"</f>
        <v>07-14</v>
      </c>
      <c r="B437" s="3"/>
      <c r="C437" s="3" t="s">
        <v>682</v>
      </c>
      <c r="D437" s="3" t="s">
        <v>10</v>
      </c>
      <c r="E437" s="3" t="s">
        <v>11</v>
      </c>
      <c r="F437" s="3" t="s">
        <v>683</v>
      </c>
      <c r="G437" s="3" t="s">
        <v>674</v>
      </c>
      <c r="H437" s="3" t="s">
        <v>20</v>
      </c>
      <c r="I437" s="3" t="s">
        <v>21</v>
      </c>
      <c r="J437" s="3" t="s">
        <v>16</v>
      </c>
      <c r="K437" s="3" t="str">
        <f>"651-523-1252"</f>
        <v>651-523-1252</v>
      </c>
    </row>
    <row r="438" spans="1:11" x14ac:dyDescent="0.35">
      <c r="A438" s="3" t="str">
        <f>"11-11-30"</f>
        <v>11-11-30</v>
      </c>
      <c r="B438" s="3"/>
      <c r="C438" s="3" t="s">
        <v>1073</v>
      </c>
      <c r="D438" s="3" t="s">
        <v>179</v>
      </c>
      <c r="E438" s="3" t="s">
        <v>43</v>
      </c>
      <c r="F438" s="3" t="s">
        <v>1076</v>
      </c>
      <c r="G438" s="3" t="s">
        <v>1077</v>
      </c>
      <c r="H438" s="3" t="s">
        <v>1074</v>
      </c>
      <c r="I438" s="3" t="s">
        <v>1075</v>
      </c>
      <c r="J438" s="3" t="s">
        <v>16</v>
      </c>
      <c r="K438" s="3" t="str">
        <f>"216-520-1250"</f>
        <v>216-520-1250</v>
      </c>
    </row>
    <row r="439" spans="1:11" x14ac:dyDescent="0.35">
      <c r="A439" s="4" t="str">
        <f>"96-52"</f>
        <v>96-52</v>
      </c>
      <c r="B439" s="4"/>
      <c r="C439" s="4" t="s">
        <v>1799</v>
      </c>
      <c r="D439" s="4" t="s">
        <v>630</v>
      </c>
      <c r="E439" s="4" t="s">
        <v>631</v>
      </c>
      <c r="F439" s="4" t="s">
        <v>1802</v>
      </c>
      <c r="G439" s="4" t="s">
        <v>1801</v>
      </c>
      <c r="H439" s="4" t="s">
        <v>1800</v>
      </c>
      <c r="I439" s="4" t="s">
        <v>1801</v>
      </c>
      <c r="J439" s="4" t="s">
        <v>2063</v>
      </c>
      <c r="K439" s="4" t="str">
        <f>"563-542-3289"</f>
        <v>563-542-3289</v>
      </c>
    </row>
    <row r="440" spans="1:11" x14ac:dyDescent="0.35">
      <c r="A440" s="3" t="str">
        <f>"04-12"</f>
        <v>04-12</v>
      </c>
      <c r="B440" s="3" t="s">
        <v>389</v>
      </c>
      <c r="C440" s="3" t="s">
        <v>390</v>
      </c>
      <c r="D440" s="3" t="s">
        <v>166</v>
      </c>
      <c r="E440" s="3" t="s">
        <v>167</v>
      </c>
      <c r="F440" s="3" t="s">
        <v>391</v>
      </c>
      <c r="G440" s="3" t="s">
        <v>322</v>
      </c>
      <c r="H440" s="3" t="s">
        <v>319</v>
      </c>
      <c r="I440" s="3" t="s">
        <v>320</v>
      </c>
      <c r="J440" s="3" t="s">
        <v>16</v>
      </c>
      <c r="K440" s="3" t="str">
        <f>"651-815-0665"</f>
        <v>651-815-0665</v>
      </c>
    </row>
    <row r="441" spans="1:11" x14ac:dyDescent="0.35">
      <c r="A441" s="3" t="str">
        <f>"90-13"</f>
        <v>90-13</v>
      </c>
      <c r="B441" s="3"/>
      <c r="C441" s="3" t="s">
        <v>1483</v>
      </c>
      <c r="D441" s="3" t="s">
        <v>159</v>
      </c>
      <c r="E441" s="3" t="s">
        <v>160</v>
      </c>
      <c r="F441" s="3" t="s">
        <v>1486</v>
      </c>
      <c r="G441" s="3" t="s">
        <v>1485</v>
      </c>
      <c r="H441" s="3" t="s">
        <v>1484</v>
      </c>
      <c r="I441" s="3" t="s">
        <v>1485</v>
      </c>
      <c r="J441" s="3" t="s">
        <v>16</v>
      </c>
      <c r="K441" s="3" t="str">
        <f>"515-727-9000"</f>
        <v>515-727-9000</v>
      </c>
    </row>
    <row r="442" spans="1:11" x14ac:dyDescent="0.35">
      <c r="A442" s="3" t="str">
        <f>"08-0923"</f>
        <v>08-0923</v>
      </c>
      <c r="B442" s="3"/>
      <c r="C442" s="3" t="s">
        <v>809</v>
      </c>
      <c r="D442" s="3" t="s">
        <v>159</v>
      </c>
      <c r="E442" s="3" t="s">
        <v>160</v>
      </c>
      <c r="F442" s="3" t="s">
        <v>810</v>
      </c>
      <c r="G442" s="3" t="s">
        <v>450</v>
      </c>
      <c r="H442" s="3" t="s">
        <v>447</v>
      </c>
      <c r="I442" s="3" t="s">
        <v>448</v>
      </c>
      <c r="J442" s="3" t="s">
        <v>31</v>
      </c>
      <c r="K442" s="3" t="str">
        <f>"612-332-3000"</f>
        <v>612-332-3000</v>
      </c>
    </row>
    <row r="443" spans="1:11" x14ac:dyDescent="0.35">
      <c r="A443" s="3" t="str">
        <f>"10-10-24"</f>
        <v>10-10-24</v>
      </c>
      <c r="B443" s="3"/>
      <c r="C443" s="3" t="s">
        <v>966</v>
      </c>
      <c r="D443" s="3" t="s">
        <v>166</v>
      </c>
      <c r="E443" s="3" t="s">
        <v>167</v>
      </c>
      <c r="F443" s="3" t="s">
        <v>967</v>
      </c>
      <c r="G443" s="3" t="s">
        <v>450</v>
      </c>
      <c r="H443" s="3" t="s">
        <v>447</v>
      </c>
      <c r="I443" s="3" t="s">
        <v>448</v>
      </c>
      <c r="J443" s="3" t="s">
        <v>31</v>
      </c>
      <c r="K443" s="3" t="str">
        <f>"612-332-3000"</f>
        <v>612-332-3000</v>
      </c>
    </row>
    <row r="444" spans="1:11" x14ac:dyDescent="0.35">
      <c r="A444" s="3" t="str">
        <f>"05-35"</f>
        <v>05-35</v>
      </c>
      <c r="B444" s="3" t="s">
        <v>521</v>
      </c>
      <c r="C444" s="3" t="s">
        <v>522</v>
      </c>
      <c r="D444" s="3" t="s">
        <v>25</v>
      </c>
      <c r="E444" s="3" t="s">
        <v>26</v>
      </c>
      <c r="F444" s="3" t="s">
        <v>523</v>
      </c>
      <c r="G444" s="3" t="s">
        <v>42</v>
      </c>
      <c r="H444" s="3" t="s">
        <v>39</v>
      </c>
      <c r="I444" s="3" t="s">
        <v>40</v>
      </c>
      <c r="J444" s="3" t="s">
        <v>44</v>
      </c>
      <c r="K444" s="3" t="str">
        <f>"515-262-5965"</f>
        <v>515-262-5965</v>
      </c>
    </row>
    <row r="445" spans="1:11" x14ac:dyDescent="0.35">
      <c r="A445" s="3" t="s">
        <v>834</v>
      </c>
      <c r="B445" s="3" t="s">
        <v>834</v>
      </c>
      <c r="C445" s="3" t="s">
        <v>835</v>
      </c>
      <c r="D445" s="3" t="s">
        <v>18</v>
      </c>
      <c r="E445" s="3" t="s">
        <v>19</v>
      </c>
      <c r="F445" s="3" t="s">
        <v>836</v>
      </c>
      <c r="G445" s="3" t="s">
        <v>661</v>
      </c>
      <c r="H445" s="3" t="s">
        <v>658</v>
      </c>
      <c r="I445" s="3" t="s">
        <v>659</v>
      </c>
      <c r="J445" s="3" t="s">
        <v>87</v>
      </c>
      <c r="K445" s="3" t="str">
        <f>"563-599-2980"</f>
        <v>563-599-2980</v>
      </c>
    </row>
    <row r="446" spans="1:11" x14ac:dyDescent="0.35">
      <c r="A446" s="3" t="str">
        <f>"06-20"</f>
        <v>06-20</v>
      </c>
      <c r="B446" s="3" t="s">
        <v>589</v>
      </c>
      <c r="C446" s="3" t="s">
        <v>590</v>
      </c>
      <c r="D446" s="3" t="s">
        <v>52</v>
      </c>
      <c r="E446" s="3" t="s">
        <v>38</v>
      </c>
      <c r="F446" s="3" t="s">
        <v>593</v>
      </c>
      <c r="G446" s="3" t="s">
        <v>594</v>
      </c>
      <c r="H446" s="3" t="s">
        <v>591</v>
      </c>
      <c r="I446" s="3" t="s">
        <v>592</v>
      </c>
      <c r="J446" s="3" t="s">
        <v>16</v>
      </c>
      <c r="K446" s="3" t="str">
        <f>"712-234-2328"</f>
        <v>712-234-2328</v>
      </c>
    </row>
    <row r="447" spans="1:11" x14ac:dyDescent="0.35">
      <c r="A447" s="3" t="str">
        <f>"03-45"</f>
        <v>03-45</v>
      </c>
      <c r="B447" s="3" t="s">
        <v>365</v>
      </c>
      <c r="C447" s="3" t="s">
        <v>366</v>
      </c>
      <c r="D447" s="3" t="s">
        <v>367</v>
      </c>
      <c r="E447" s="3" t="s">
        <v>58</v>
      </c>
      <c r="F447" s="3" t="s">
        <v>368</v>
      </c>
      <c r="G447" s="3" t="s">
        <v>62</v>
      </c>
      <c r="H447" s="3" t="s">
        <v>59</v>
      </c>
      <c r="I447" s="3" t="s">
        <v>60</v>
      </c>
      <c r="J447" s="3" t="s">
        <v>44</v>
      </c>
      <c r="K447" s="3" t="str">
        <f>"319-338-7600"</f>
        <v>319-338-7600</v>
      </c>
    </row>
    <row r="448" spans="1:11" x14ac:dyDescent="0.35">
      <c r="A448" s="3" t="str">
        <f>"02-25"</f>
        <v>02-25</v>
      </c>
      <c r="B448" s="3" t="s">
        <v>263</v>
      </c>
      <c r="C448" s="3" t="s">
        <v>264</v>
      </c>
      <c r="D448" s="3" t="s">
        <v>265</v>
      </c>
      <c r="E448" s="3" t="s">
        <v>111</v>
      </c>
      <c r="F448" s="3" t="s">
        <v>268</v>
      </c>
      <c r="G448" s="3" t="s">
        <v>269</v>
      </c>
      <c r="H448" s="3" t="s">
        <v>266</v>
      </c>
      <c r="I448" s="3" t="s">
        <v>267</v>
      </c>
      <c r="J448" s="3" t="s">
        <v>78</v>
      </c>
      <c r="K448" s="3" t="str">
        <f>"319-440-2123"</f>
        <v>319-440-2123</v>
      </c>
    </row>
    <row r="449" spans="1:11" x14ac:dyDescent="0.35">
      <c r="A449" s="3" t="str">
        <f>"95-43"</f>
        <v>95-43</v>
      </c>
      <c r="B449" s="3"/>
      <c r="C449" s="3" t="s">
        <v>1768</v>
      </c>
      <c r="D449" s="3" t="s">
        <v>503</v>
      </c>
      <c r="E449" s="3" t="s">
        <v>504</v>
      </c>
      <c r="F449" s="3" t="s">
        <v>1769</v>
      </c>
      <c r="G449" s="3" t="s">
        <v>619</v>
      </c>
      <c r="H449" s="3" t="s">
        <v>591</v>
      </c>
      <c r="I449" s="3" t="s">
        <v>592</v>
      </c>
      <c r="J449" s="3" t="s">
        <v>16</v>
      </c>
      <c r="K449" s="3" t="str">
        <f>"515-707-6042"</f>
        <v>515-707-6042</v>
      </c>
    </row>
    <row r="450" spans="1:11" x14ac:dyDescent="0.35">
      <c r="A450" s="3" t="str">
        <f>"98-76"</f>
        <v>98-76</v>
      </c>
      <c r="B450" s="3" t="s">
        <v>1980</v>
      </c>
      <c r="C450" s="3" t="s">
        <v>1981</v>
      </c>
      <c r="D450" s="3" t="s">
        <v>1197</v>
      </c>
      <c r="E450" s="3" t="s">
        <v>270</v>
      </c>
      <c r="F450" s="3" t="s">
        <v>1982</v>
      </c>
      <c r="G450" s="3" t="s">
        <v>77</v>
      </c>
      <c r="H450" s="3" t="s">
        <v>74</v>
      </c>
      <c r="I450" s="3" t="s">
        <v>75</v>
      </c>
      <c r="J450" s="3" t="s">
        <v>78</v>
      </c>
      <c r="K450" s="3" t="str">
        <f>"402-488-1666"</f>
        <v>402-488-1666</v>
      </c>
    </row>
    <row r="451" spans="1:11" x14ac:dyDescent="0.35">
      <c r="A451" s="3" t="str">
        <f>"00-37"</f>
        <v>00-37</v>
      </c>
      <c r="B451" s="3" t="s">
        <v>92</v>
      </c>
      <c r="C451" s="3" t="s">
        <v>93</v>
      </c>
      <c r="D451" s="3" t="s">
        <v>25</v>
      </c>
      <c r="E451" s="3" t="s">
        <v>26</v>
      </c>
      <c r="F451" s="3" t="s">
        <v>96</v>
      </c>
      <c r="G451" s="3" t="s">
        <v>97</v>
      </c>
      <c r="H451" s="3" t="s">
        <v>94</v>
      </c>
      <c r="I451" s="3" t="s">
        <v>95</v>
      </c>
      <c r="J451" s="3" t="s">
        <v>31</v>
      </c>
      <c r="K451" s="3" t="str">
        <f>"303-830-3389"</f>
        <v>303-830-3389</v>
      </c>
    </row>
    <row r="452" spans="1:11" x14ac:dyDescent="0.35">
      <c r="A452" s="3" t="str">
        <f>"99-74"</f>
        <v>99-74</v>
      </c>
      <c r="B452" s="3" t="s">
        <v>2041</v>
      </c>
      <c r="C452" s="3" t="s">
        <v>2042</v>
      </c>
      <c r="D452" s="3" t="s">
        <v>52</v>
      </c>
      <c r="E452" s="3" t="s">
        <v>38</v>
      </c>
      <c r="F452" s="3" t="s">
        <v>2043</v>
      </c>
      <c r="G452" s="3" t="s">
        <v>2044</v>
      </c>
      <c r="H452" s="3" t="s">
        <v>453</v>
      </c>
      <c r="I452" s="3" t="s">
        <v>454</v>
      </c>
      <c r="J452" s="3" t="s">
        <v>78</v>
      </c>
      <c r="K452" s="3" t="str">
        <f>"712-252-2201"</f>
        <v>712-252-2201</v>
      </c>
    </row>
    <row r="453" spans="1:11" x14ac:dyDescent="0.35">
      <c r="A453" s="3" t="str">
        <f>"05-34"</f>
        <v>05-34</v>
      </c>
      <c r="B453" s="3"/>
      <c r="C453" s="3" t="s">
        <v>519</v>
      </c>
      <c r="D453" s="3" t="s">
        <v>10</v>
      </c>
      <c r="E453" s="3" t="s">
        <v>11</v>
      </c>
      <c r="F453" s="3" t="s">
        <v>520</v>
      </c>
      <c r="G453" s="3" t="s">
        <v>364</v>
      </c>
      <c r="H453" s="3" t="s">
        <v>361</v>
      </c>
      <c r="I453" s="3" t="s">
        <v>362</v>
      </c>
      <c r="J453" s="3" t="s">
        <v>78</v>
      </c>
      <c r="K453" s="3" t="str">
        <f>"312-766-3503"</f>
        <v>312-766-3503</v>
      </c>
    </row>
    <row r="454" spans="1:11" x14ac:dyDescent="0.35">
      <c r="A454" s="3" t="str">
        <f>"95-28"</f>
        <v>95-28</v>
      </c>
      <c r="B454" s="3" t="s">
        <v>1755</v>
      </c>
      <c r="C454" s="3" t="s">
        <v>1756</v>
      </c>
      <c r="D454" s="3" t="s">
        <v>1757</v>
      </c>
      <c r="E454" s="3" t="s">
        <v>48</v>
      </c>
      <c r="F454" s="3" t="s">
        <v>1758</v>
      </c>
      <c r="G454" s="3" t="s">
        <v>1103</v>
      </c>
      <c r="H454" s="3" t="s">
        <v>39</v>
      </c>
      <c r="I454" s="3" t="s">
        <v>40</v>
      </c>
      <c r="J454" s="3" t="s">
        <v>44</v>
      </c>
      <c r="K454" s="3" t="str">
        <f>"515-262-5965"</f>
        <v>515-262-5965</v>
      </c>
    </row>
    <row r="455" spans="1:11" x14ac:dyDescent="0.35">
      <c r="A455" s="3" t="str">
        <f>"11-11-42"</f>
        <v>11-11-42</v>
      </c>
      <c r="B455" s="3" t="s">
        <v>1078</v>
      </c>
      <c r="C455" s="3" t="s">
        <v>1079</v>
      </c>
      <c r="D455" s="3" t="s">
        <v>159</v>
      </c>
      <c r="E455" s="3" t="s">
        <v>160</v>
      </c>
      <c r="F455" s="3" t="s">
        <v>1080</v>
      </c>
      <c r="G455" s="3" t="s">
        <v>790</v>
      </c>
      <c r="H455" s="3" t="s">
        <v>787</v>
      </c>
      <c r="I455" s="3" t="s">
        <v>788</v>
      </c>
      <c r="J455" s="3" t="s">
        <v>16</v>
      </c>
      <c r="K455" s="3" t="str">
        <f>"515-244-7702"</f>
        <v>515-244-7702</v>
      </c>
    </row>
    <row r="456" spans="1:11" x14ac:dyDescent="0.35">
      <c r="A456" s="3" t="s">
        <v>736</v>
      </c>
      <c r="B456" s="3" t="s">
        <v>736</v>
      </c>
      <c r="C456" s="3" t="s">
        <v>737</v>
      </c>
      <c r="D456" s="3" t="s">
        <v>738</v>
      </c>
      <c r="E456" s="3" t="s">
        <v>58</v>
      </c>
      <c r="F456" s="3" t="s">
        <v>741</v>
      </c>
      <c r="G456" s="3" t="s">
        <v>742</v>
      </c>
      <c r="H456" s="3" t="s">
        <v>739</v>
      </c>
      <c r="I456" s="3" t="s">
        <v>740</v>
      </c>
      <c r="J456" s="3" t="s">
        <v>78</v>
      </c>
      <c r="K456" s="3" t="str">
        <f>"319-360-4863"</f>
        <v>319-360-4863</v>
      </c>
    </row>
    <row r="457" spans="1:11" x14ac:dyDescent="0.35">
      <c r="A457" s="3" t="s">
        <v>2059</v>
      </c>
      <c r="B457" s="3" t="s">
        <v>2059</v>
      </c>
      <c r="C457" s="3" t="s">
        <v>737</v>
      </c>
      <c r="D457" s="3" t="s">
        <v>738</v>
      </c>
      <c r="E457" s="3" t="s">
        <v>58</v>
      </c>
      <c r="F457" s="3" t="s">
        <v>741</v>
      </c>
      <c r="G457" s="3" t="s">
        <v>742</v>
      </c>
      <c r="H457" s="3" t="s">
        <v>739</v>
      </c>
      <c r="I457" s="3" t="s">
        <v>740</v>
      </c>
      <c r="J457" s="3" t="s">
        <v>78</v>
      </c>
      <c r="K457" s="3" t="str">
        <f>"319-360-4863"</f>
        <v>319-360-4863</v>
      </c>
    </row>
    <row r="458" spans="1:11" x14ac:dyDescent="0.35">
      <c r="A458" s="3" t="str">
        <f>"17-21"</f>
        <v>17-21</v>
      </c>
      <c r="B458" s="3"/>
      <c r="C458" s="3" t="s">
        <v>1422</v>
      </c>
      <c r="D458" s="3" t="s">
        <v>110</v>
      </c>
      <c r="E458" s="3" t="s">
        <v>111</v>
      </c>
      <c r="F458" s="3" t="s">
        <v>1423</v>
      </c>
      <c r="G458" s="3" t="s">
        <v>1424</v>
      </c>
      <c r="H458" s="3" t="s">
        <v>239</v>
      </c>
      <c r="I458" s="3" t="s">
        <v>240</v>
      </c>
      <c r="J458" s="3" t="s">
        <v>87</v>
      </c>
      <c r="K458" s="3" t="str">
        <f>"319-363-3900"</f>
        <v>319-363-3900</v>
      </c>
    </row>
    <row r="459" spans="1:11" x14ac:dyDescent="0.35">
      <c r="A459" s="3" t="s">
        <v>1887</v>
      </c>
      <c r="B459" s="3" t="s">
        <v>1887</v>
      </c>
      <c r="C459" s="3" t="s">
        <v>1888</v>
      </c>
      <c r="D459" s="3" t="s">
        <v>122</v>
      </c>
      <c r="E459" s="3" t="s">
        <v>123</v>
      </c>
      <c r="F459" s="3" t="s">
        <v>124</v>
      </c>
      <c r="G459" s="3" t="s">
        <v>125</v>
      </c>
      <c r="H459" s="3" t="s">
        <v>124</v>
      </c>
      <c r="I459" s="3" t="s">
        <v>125</v>
      </c>
      <c r="J459" s="3" t="s">
        <v>44</v>
      </c>
      <c r="K459" s="3" t="str">
        <f>"515-778-1228"</f>
        <v>515-778-1228</v>
      </c>
    </row>
    <row r="460" spans="1:11" x14ac:dyDescent="0.35">
      <c r="A460" s="3" t="s">
        <v>120</v>
      </c>
      <c r="B460" s="3" t="s">
        <v>120</v>
      </c>
      <c r="C460" s="3" t="s">
        <v>121</v>
      </c>
      <c r="D460" s="3" t="s">
        <v>122</v>
      </c>
      <c r="E460" s="3" t="s">
        <v>123</v>
      </c>
      <c r="F460" s="3" t="s">
        <v>124</v>
      </c>
      <c r="G460" s="3" t="s">
        <v>125</v>
      </c>
      <c r="H460" s="3" t="s">
        <v>124</v>
      </c>
      <c r="I460" s="3" t="s">
        <v>125</v>
      </c>
      <c r="J460" s="3" t="s">
        <v>44</v>
      </c>
      <c r="K460" s="3" t="str">
        <f>"515-778-1228"</f>
        <v>515-778-1228</v>
      </c>
    </row>
    <row r="461" spans="1:11" x14ac:dyDescent="0.35">
      <c r="A461" s="3" t="s">
        <v>193</v>
      </c>
      <c r="B461" s="3" t="s">
        <v>193</v>
      </c>
      <c r="C461" s="3" t="s">
        <v>194</v>
      </c>
      <c r="D461" s="3" t="s">
        <v>122</v>
      </c>
      <c r="E461" s="3" t="s">
        <v>123</v>
      </c>
      <c r="F461" s="3" t="s">
        <v>124</v>
      </c>
      <c r="G461" s="3" t="s">
        <v>125</v>
      </c>
      <c r="H461" s="3" t="s">
        <v>124</v>
      </c>
      <c r="I461" s="3" t="s">
        <v>125</v>
      </c>
      <c r="J461" s="3" t="s">
        <v>44</v>
      </c>
      <c r="K461" s="3" t="str">
        <f>"515-778-1228"</f>
        <v>515-778-1228</v>
      </c>
    </row>
    <row r="462" spans="1:11" x14ac:dyDescent="0.35">
      <c r="A462" s="3" t="str">
        <f>"07-28"</f>
        <v>07-28</v>
      </c>
      <c r="B462" s="3"/>
      <c r="C462" s="3" t="s">
        <v>691</v>
      </c>
      <c r="D462" s="3" t="s">
        <v>159</v>
      </c>
      <c r="E462" s="3" t="s">
        <v>160</v>
      </c>
      <c r="F462" s="3" t="s">
        <v>694</v>
      </c>
      <c r="G462" s="3" t="s">
        <v>695</v>
      </c>
      <c r="H462" s="3" t="s">
        <v>692</v>
      </c>
      <c r="I462" s="3" t="s">
        <v>693</v>
      </c>
      <c r="J462" s="3" t="s">
        <v>16</v>
      </c>
      <c r="K462" s="3" t="str">
        <f>"515-554-9773"</f>
        <v>515-554-9773</v>
      </c>
    </row>
    <row r="463" spans="1:11" x14ac:dyDescent="0.35">
      <c r="A463" s="3" t="str">
        <f>"10-10-11"</f>
        <v>10-10-11</v>
      </c>
      <c r="B463" s="3" t="s">
        <v>921</v>
      </c>
      <c r="C463" s="3" t="s">
        <v>922</v>
      </c>
      <c r="D463" s="3" t="s">
        <v>159</v>
      </c>
      <c r="E463" s="3" t="s">
        <v>160</v>
      </c>
      <c r="F463" s="3" t="s">
        <v>923</v>
      </c>
      <c r="G463" s="3" t="s">
        <v>695</v>
      </c>
      <c r="H463" s="3" t="s">
        <v>692</v>
      </c>
      <c r="I463" s="3" t="s">
        <v>693</v>
      </c>
      <c r="J463" s="3" t="s">
        <v>16</v>
      </c>
      <c r="K463" s="3" t="str">
        <f>"515-554-9773"</f>
        <v>515-554-9773</v>
      </c>
    </row>
    <row r="464" spans="1:11" x14ac:dyDescent="0.35">
      <c r="A464" s="3" t="str">
        <f>"98-52"</f>
        <v>98-52</v>
      </c>
      <c r="B464" s="3"/>
      <c r="C464" s="3" t="s">
        <v>1953</v>
      </c>
      <c r="D464" s="3" t="s">
        <v>159</v>
      </c>
      <c r="E464" s="3" t="s">
        <v>160</v>
      </c>
      <c r="F464" s="3" t="s">
        <v>1954</v>
      </c>
      <c r="G464" s="3" t="s">
        <v>90</v>
      </c>
      <c r="H464" s="3" t="s">
        <v>89</v>
      </c>
      <c r="I464" s="3" t="s">
        <v>90</v>
      </c>
      <c r="J464" s="3" t="s">
        <v>78</v>
      </c>
      <c r="K464" s="3" t="str">
        <f>"515-246-8016"</f>
        <v>515-246-8016</v>
      </c>
    </row>
    <row r="465" spans="1:11" x14ac:dyDescent="0.35">
      <c r="A465" s="3" t="str">
        <f>"94-40"</f>
        <v>94-40</v>
      </c>
      <c r="B465" s="3"/>
      <c r="C465" s="3" t="s">
        <v>1724</v>
      </c>
      <c r="D465" s="3" t="s">
        <v>1545</v>
      </c>
      <c r="E465" s="3" t="s">
        <v>1546</v>
      </c>
      <c r="F465" s="3" t="s">
        <v>1725</v>
      </c>
      <c r="G465" s="3" t="s">
        <v>1726</v>
      </c>
      <c r="H465" s="3" t="s">
        <v>83</v>
      </c>
      <c r="I465" s="3" t="s">
        <v>84</v>
      </c>
      <c r="J465" s="3" t="s">
        <v>87</v>
      </c>
      <c r="K465" s="3" t="str">
        <f>"515-279-3368"</f>
        <v>515-279-3368</v>
      </c>
    </row>
    <row r="466" spans="1:11" x14ac:dyDescent="0.35">
      <c r="A466" s="3" t="str">
        <f>"98-39"</f>
        <v>98-39</v>
      </c>
      <c r="B466" s="3"/>
      <c r="C466" s="3" t="s">
        <v>1724</v>
      </c>
      <c r="D466" s="3" t="s">
        <v>772</v>
      </c>
      <c r="E466" s="3" t="s">
        <v>773</v>
      </c>
      <c r="F466" s="3" t="s">
        <v>1937</v>
      </c>
      <c r="G466" s="3" t="s">
        <v>1923</v>
      </c>
      <c r="H466" s="3" t="s">
        <v>246</v>
      </c>
      <c r="I466" s="3" t="s">
        <v>247</v>
      </c>
      <c r="J466" s="3" t="s">
        <v>16</v>
      </c>
      <c r="K466" s="3" t="str">
        <f>"262-790-4560"</f>
        <v>262-790-4560</v>
      </c>
    </row>
    <row r="467" spans="1:11" x14ac:dyDescent="0.35">
      <c r="A467" s="3" t="str">
        <f>"99-43"</f>
        <v>99-43</v>
      </c>
      <c r="B467" s="3"/>
      <c r="C467" s="3" t="s">
        <v>2021</v>
      </c>
      <c r="D467" s="3" t="s">
        <v>772</v>
      </c>
      <c r="E467" s="3" t="s">
        <v>773</v>
      </c>
      <c r="F467" s="3" t="s">
        <v>1937</v>
      </c>
      <c r="G467" s="3" t="s">
        <v>1923</v>
      </c>
      <c r="H467" s="3" t="s">
        <v>246</v>
      </c>
      <c r="I467" s="3" t="s">
        <v>247</v>
      </c>
      <c r="J467" s="3" t="s">
        <v>16</v>
      </c>
      <c r="K467" s="3" t="str">
        <f>"262-790-4560"</f>
        <v>262-790-4560</v>
      </c>
    </row>
    <row r="468" spans="1:11" x14ac:dyDescent="0.35">
      <c r="A468" s="3" t="str">
        <f>"12-12-26"</f>
        <v>12-12-26</v>
      </c>
      <c r="B468" s="3" t="s">
        <v>1135</v>
      </c>
      <c r="C468" s="3" t="s">
        <v>1136</v>
      </c>
      <c r="D468" s="3" t="s">
        <v>159</v>
      </c>
      <c r="E468" s="3" t="s">
        <v>160</v>
      </c>
      <c r="F468" s="3" t="s">
        <v>1137</v>
      </c>
      <c r="G468" s="3" t="s">
        <v>240</v>
      </c>
      <c r="H468" s="3" t="s">
        <v>239</v>
      </c>
      <c r="I468" s="3" t="s">
        <v>240</v>
      </c>
      <c r="J468" s="3" t="s">
        <v>87</v>
      </c>
      <c r="K468" s="3" t="str">
        <f>"515-314-5481"</f>
        <v>515-314-5481</v>
      </c>
    </row>
    <row r="469" spans="1:11" x14ac:dyDescent="0.35">
      <c r="A469" s="3" t="str">
        <f>"15-15-1"</f>
        <v>15-15-1</v>
      </c>
      <c r="B469" s="3" t="s">
        <v>1307</v>
      </c>
      <c r="C469" s="3" t="s">
        <v>1308</v>
      </c>
      <c r="D469" s="3" t="s">
        <v>103</v>
      </c>
      <c r="E469" s="3" t="s">
        <v>104</v>
      </c>
      <c r="F469" s="3" t="s">
        <v>1309</v>
      </c>
      <c r="G469" s="3" t="s">
        <v>1103</v>
      </c>
      <c r="H469" s="3" t="s">
        <v>39</v>
      </c>
      <c r="I469" s="3" t="s">
        <v>40</v>
      </c>
      <c r="J469" s="3" t="s">
        <v>44</v>
      </c>
      <c r="K469" s="3" t="str">
        <f>"515-262-5965"</f>
        <v>515-262-5965</v>
      </c>
    </row>
    <row r="470" spans="1:11" x14ac:dyDescent="0.35">
      <c r="A470" s="3" t="str">
        <f>"15-15-21"</f>
        <v>15-15-21</v>
      </c>
      <c r="B470" s="3"/>
      <c r="C470" s="3" t="s">
        <v>1338</v>
      </c>
      <c r="D470" s="3" t="s">
        <v>159</v>
      </c>
      <c r="E470" s="3" t="s">
        <v>160</v>
      </c>
      <c r="F470" s="3" t="s">
        <v>1339</v>
      </c>
      <c r="G470" s="3" t="s">
        <v>963</v>
      </c>
      <c r="H470" s="3" t="s">
        <v>960</v>
      </c>
      <c r="I470" s="3" t="s">
        <v>961</v>
      </c>
      <c r="J470" s="3" t="s">
        <v>78</v>
      </c>
      <c r="K470" s="3" t="str">
        <f>"513-964-1140"</f>
        <v>513-964-1140</v>
      </c>
    </row>
    <row r="471" spans="1:11" x14ac:dyDescent="0.35">
      <c r="A471" s="3" t="str">
        <f>"93-05"</f>
        <v>93-05</v>
      </c>
      <c r="B471" s="3"/>
      <c r="C471" s="3" t="s">
        <v>1645</v>
      </c>
      <c r="D471" s="3" t="s">
        <v>159</v>
      </c>
      <c r="E471" s="3" t="s">
        <v>160</v>
      </c>
      <c r="F471" s="3" t="s">
        <v>1648</v>
      </c>
      <c r="G471" s="3" t="s">
        <v>1649</v>
      </c>
      <c r="H471" s="3" t="s">
        <v>1646</v>
      </c>
      <c r="I471" s="3" t="s">
        <v>1647</v>
      </c>
      <c r="J471" s="3" t="s">
        <v>16</v>
      </c>
      <c r="K471" s="3" t="str">
        <f>"312-267-4850"</f>
        <v>312-267-4850</v>
      </c>
    </row>
    <row r="472" spans="1:11" x14ac:dyDescent="0.35">
      <c r="A472" s="3" t="str">
        <f>"10-10-19"</f>
        <v>10-10-19</v>
      </c>
      <c r="B472" s="3"/>
      <c r="C472" s="3" t="s">
        <v>933</v>
      </c>
      <c r="D472" s="3" t="s">
        <v>159</v>
      </c>
      <c r="E472" s="3" t="s">
        <v>160</v>
      </c>
      <c r="F472" s="3" t="s">
        <v>934</v>
      </c>
      <c r="G472" s="3" t="s">
        <v>926</v>
      </c>
      <c r="H472" s="3" t="s">
        <v>717</v>
      </c>
      <c r="I472" s="3" t="s">
        <v>718</v>
      </c>
      <c r="J472" s="3" t="s">
        <v>31</v>
      </c>
      <c r="K472" s="3" t="str">
        <f>"763-354-5500"</f>
        <v>763-354-5500</v>
      </c>
    </row>
    <row r="473" spans="1:11" x14ac:dyDescent="0.35">
      <c r="A473" s="3" t="str">
        <f>"14-14-4"</f>
        <v>14-14-4</v>
      </c>
      <c r="B473" s="3"/>
      <c r="C473" s="3" t="s">
        <v>1289</v>
      </c>
      <c r="D473" s="3" t="s">
        <v>1290</v>
      </c>
      <c r="E473" s="3" t="s">
        <v>1291</v>
      </c>
      <c r="F473" s="3" t="s">
        <v>1292</v>
      </c>
      <c r="G473" s="3" t="s">
        <v>442</v>
      </c>
      <c r="H473" s="3" t="s">
        <v>439</v>
      </c>
      <c r="I473" s="3" t="s">
        <v>440</v>
      </c>
      <c r="J473" s="3" t="s">
        <v>87</v>
      </c>
      <c r="K473" s="3" t="str">
        <f>"515-280-2053"</f>
        <v>515-280-2053</v>
      </c>
    </row>
    <row r="474" spans="1:11" x14ac:dyDescent="0.35">
      <c r="A474" s="3" t="str">
        <f>"08-12"</f>
        <v>08-12</v>
      </c>
      <c r="B474" s="3" t="s">
        <v>819</v>
      </c>
      <c r="C474" s="3" t="s">
        <v>820</v>
      </c>
      <c r="D474" s="3" t="s">
        <v>103</v>
      </c>
      <c r="E474" s="3" t="s">
        <v>104</v>
      </c>
      <c r="F474" s="3" t="s">
        <v>821</v>
      </c>
      <c r="G474" s="3" t="s">
        <v>42</v>
      </c>
      <c r="H474" s="3" t="s">
        <v>39</v>
      </c>
      <c r="I474" s="3" t="s">
        <v>40</v>
      </c>
      <c r="J474" s="3" t="s">
        <v>44</v>
      </c>
      <c r="K474" s="3" t="str">
        <f>"515-262-5965"</f>
        <v>515-262-5965</v>
      </c>
    </row>
    <row r="475" spans="1:11" x14ac:dyDescent="0.35">
      <c r="A475" s="3" t="str">
        <f>"02-08"</f>
        <v>02-08</v>
      </c>
      <c r="B475" s="3" t="s">
        <v>211</v>
      </c>
      <c r="C475" s="3" t="s">
        <v>212</v>
      </c>
      <c r="D475" s="3" t="s">
        <v>52</v>
      </c>
      <c r="E475" s="3" t="s">
        <v>38</v>
      </c>
      <c r="F475" s="3" t="s">
        <v>215</v>
      </c>
      <c r="G475" s="3" t="s">
        <v>171</v>
      </c>
      <c r="H475" s="3" t="s">
        <v>213</v>
      </c>
      <c r="I475" s="3" t="s">
        <v>214</v>
      </c>
      <c r="J475" s="3" t="s">
        <v>78</v>
      </c>
      <c r="K475" s="3" t="str">
        <f>"402-963-9099"</f>
        <v>402-963-9099</v>
      </c>
    </row>
    <row r="476" spans="1:11" x14ac:dyDescent="0.35">
      <c r="A476" s="3" t="str">
        <f>"90-04"</f>
        <v>90-04</v>
      </c>
      <c r="B476" s="3"/>
      <c r="C476" s="3" t="s">
        <v>1469</v>
      </c>
      <c r="D476" s="3" t="s">
        <v>1470</v>
      </c>
      <c r="E476" s="3" t="s">
        <v>1273</v>
      </c>
      <c r="F476" s="3" t="s">
        <v>1473</v>
      </c>
      <c r="G476" s="3" t="s">
        <v>1474</v>
      </c>
      <c r="H476" s="3" t="s">
        <v>1471</v>
      </c>
      <c r="I476" s="3" t="s">
        <v>1472</v>
      </c>
      <c r="J476" s="3" t="s">
        <v>78</v>
      </c>
      <c r="K476" s="3" t="str">
        <f>"319-330-2122"</f>
        <v>319-330-2122</v>
      </c>
    </row>
    <row r="477" spans="1:11" x14ac:dyDescent="0.35">
      <c r="A477" s="3" t="str">
        <f>"06-49"</f>
        <v>06-49</v>
      </c>
      <c r="B477" s="3"/>
      <c r="C477" s="3" t="s">
        <v>646</v>
      </c>
      <c r="D477" s="3" t="s">
        <v>10</v>
      </c>
      <c r="E477" s="3" t="s">
        <v>11</v>
      </c>
      <c r="F477" s="3" t="s">
        <v>647</v>
      </c>
      <c r="G477" s="3" t="s">
        <v>316</v>
      </c>
      <c r="H477" s="3" t="s">
        <v>313</v>
      </c>
      <c r="I477" s="3" t="s">
        <v>314</v>
      </c>
      <c r="J477" s="3" t="s">
        <v>87</v>
      </c>
      <c r="K477" s="3" t="str">
        <f>"414-727-9902"</f>
        <v>414-727-9902</v>
      </c>
    </row>
    <row r="478" spans="1:11" x14ac:dyDescent="0.35">
      <c r="A478" s="3" t="str">
        <f>"06-50"</f>
        <v>06-50</v>
      </c>
      <c r="B478" s="3"/>
      <c r="C478" s="3" t="s">
        <v>648</v>
      </c>
      <c r="D478" s="3" t="s">
        <v>649</v>
      </c>
      <c r="E478" s="3" t="s">
        <v>11</v>
      </c>
      <c r="F478" s="3" t="s">
        <v>650</v>
      </c>
      <c r="G478" s="3" t="s">
        <v>316</v>
      </c>
      <c r="H478" s="3" t="s">
        <v>313</v>
      </c>
      <c r="I478" s="3" t="s">
        <v>314</v>
      </c>
      <c r="J478" s="3" t="s">
        <v>87</v>
      </c>
      <c r="K478" s="3" t="str">
        <f>"414-727-9902"</f>
        <v>414-727-9902</v>
      </c>
    </row>
    <row r="479" spans="1:11" x14ac:dyDescent="0.35">
      <c r="A479" s="3" t="str">
        <f>"00-13"</f>
        <v>00-13</v>
      </c>
      <c r="B479" s="3"/>
      <c r="C479" s="3" t="s">
        <v>32</v>
      </c>
      <c r="D479" s="3" t="s">
        <v>10</v>
      </c>
      <c r="E479" s="3" t="s">
        <v>11</v>
      </c>
      <c r="F479" s="3" t="s">
        <v>33</v>
      </c>
      <c r="G479" s="3" t="s">
        <v>34</v>
      </c>
      <c r="H479" s="3" t="s">
        <v>12</v>
      </c>
      <c r="I479" s="3" t="s">
        <v>13</v>
      </c>
      <c r="J479" s="3" t="s">
        <v>16</v>
      </c>
      <c r="K479" s="3" t="str">
        <f>"800-333-3509"</f>
        <v>800-333-3509</v>
      </c>
    </row>
    <row r="480" spans="1:11" x14ac:dyDescent="0.35">
      <c r="A480" s="3" t="str">
        <f>"07-41"</f>
        <v>07-41</v>
      </c>
      <c r="B480" s="3"/>
      <c r="C480" s="3" t="s">
        <v>714</v>
      </c>
      <c r="D480" s="3" t="s">
        <v>18</v>
      </c>
      <c r="E480" s="3" t="s">
        <v>19</v>
      </c>
      <c r="F480" s="3" t="s">
        <v>715</v>
      </c>
      <c r="G480" s="3" t="s">
        <v>316</v>
      </c>
      <c r="H480" s="3" t="s">
        <v>313</v>
      </c>
      <c r="I480" s="3" t="s">
        <v>314</v>
      </c>
      <c r="J480" s="3" t="s">
        <v>87</v>
      </c>
      <c r="K480" s="3" t="str">
        <f>"414-395-4980"</f>
        <v>414-395-4980</v>
      </c>
    </row>
    <row r="481" spans="1:11" x14ac:dyDescent="0.35">
      <c r="A481" s="3" t="str">
        <f>"98-45"</f>
        <v>98-45</v>
      </c>
      <c r="B481" s="3" t="s">
        <v>1942</v>
      </c>
      <c r="C481" s="3" t="s">
        <v>1943</v>
      </c>
      <c r="D481" s="3" t="s">
        <v>1944</v>
      </c>
      <c r="E481" s="3" t="s">
        <v>1945</v>
      </c>
      <c r="F481" s="3" t="s">
        <v>1946</v>
      </c>
      <c r="G481" s="3" t="s">
        <v>108</v>
      </c>
      <c r="H481" s="3" t="s">
        <v>83</v>
      </c>
      <c r="I481" s="3" t="s">
        <v>84</v>
      </c>
      <c r="J481" s="3" t="s">
        <v>87</v>
      </c>
      <c r="K481" s="3" t="str">
        <f>"712-580-5360"</f>
        <v>712-580-5360</v>
      </c>
    </row>
    <row r="482" spans="1:11" x14ac:dyDescent="0.35">
      <c r="A482" s="3" t="str">
        <f>"10-10-270"</f>
        <v>10-10-270</v>
      </c>
      <c r="B482" s="3"/>
      <c r="C482" s="3" t="s">
        <v>1011</v>
      </c>
      <c r="D482" s="3" t="s">
        <v>753</v>
      </c>
      <c r="E482" s="3" t="s">
        <v>150</v>
      </c>
      <c r="F482" s="3" t="s">
        <v>1012</v>
      </c>
      <c r="G482" s="3" t="s">
        <v>108</v>
      </c>
      <c r="H482" s="3" t="s">
        <v>83</v>
      </c>
      <c r="I482" s="3" t="s">
        <v>84</v>
      </c>
      <c r="J482" s="3" t="s">
        <v>87</v>
      </c>
      <c r="K482" s="3" t="str">
        <f>"712-580-5360"</f>
        <v>712-580-5360</v>
      </c>
    </row>
    <row r="483" spans="1:11" x14ac:dyDescent="0.35">
      <c r="A483" s="3" t="str">
        <f>"16-27"</f>
        <v>16-27</v>
      </c>
      <c r="B483" s="3"/>
      <c r="C483" s="3" t="s">
        <v>1387</v>
      </c>
      <c r="D483" s="3" t="s">
        <v>179</v>
      </c>
      <c r="E483" s="3" t="s">
        <v>43</v>
      </c>
      <c r="F483" s="3" t="s">
        <v>1388</v>
      </c>
      <c r="G483" s="3" t="s">
        <v>1389</v>
      </c>
      <c r="H483" s="3" t="s">
        <v>1074</v>
      </c>
      <c r="I483" s="3" t="s">
        <v>1077</v>
      </c>
      <c r="J483" s="3" t="s">
        <v>16</v>
      </c>
      <c r="K483" s="3" t="str">
        <f>"216-520-1250"</f>
        <v>216-520-1250</v>
      </c>
    </row>
    <row r="484" spans="1:11" x14ac:dyDescent="0.35">
      <c r="A484" s="3" t="s">
        <v>1172</v>
      </c>
      <c r="B484" s="3" t="str">
        <f>"92-38"</f>
        <v>92-38</v>
      </c>
      <c r="C484" s="3" t="s">
        <v>1173</v>
      </c>
      <c r="D484" s="3" t="s">
        <v>159</v>
      </c>
      <c r="E484" s="3" t="s">
        <v>160</v>
      </c>
      <c r="F484" s="3" t="s">
        <v>1174</v>
      </c>
      <c r="G484" s="3" t="s">
        <v>857</v>
      </c>
      <c r="H484" s="3" t="s">
        <v>856</v>
      </c>
      <c r="I484" s="3" t="s">
        <v>857</v>
      </c>
      <c r="J484" s="3" t="s">
        <v>78</v>
      </c>
      <c r="K484" s="3" t="str">
        <f>"651-291-1750"</f>
        <v>651-291-1750</v>
      </c>
    </row>
    <row r="485" spans="1:11" x14ac:dyDescent="0.35">
      <c r="A485" s="3" t="str">
        <f>"07-27"</f>
        <v>07-27</v>
      </c>
      <c r="B485" s="3"/>
      <c r="C485" s="3" t="s">
        <v>689</v>
      </c>
      <c r="D485" s="3" t="s">
        <v>159</v>
      </c>
      <c r="E485" s="3" t="s">
        <v>160</v>
      </c>
      <c r="F485" s="3" t="s">
        <v>690</v>
      </c>
      <c r="G485" s="3" t="s">
        <v>240</v>
      </c>
      <c r="H485" s="3" t="s">
        <v>239</v>
      </c>
      <c r="I485" s="3" t="s">
        <v>240</v>
      </c>
      <c r="J485" s="3" t="s">
        <v>87</v>
      </c>
      <c r="K485" s="3" t="str">
        <f>"515-314-5481"</f>
        <v>515-314-5481</v>
      </c>
    </row>
    <row r="486" spans="1:11" x14ac:dyDescent="0.35">
      <c r="A486" s="3" t="str">
        <f>"02-22"</f>
        <v>02-22</v>
      </c>
      <c r="B486" s="3" t="s">
        <v>252</v>
      </c>
      <c r="C486" s="3" t="s">
        <v>253</v>
      </c>
      <c r="D486" s="3" t="s">
        <v>166</v>
      </c>
      <c r="E486" s="3" t="s">
        <v>167</v>
      </c>
      <c r="F486" s="3" t="s">
        <v>256</v>
      </c>
      <c r="G486" s="3" t="s">
        <v>255</v>
      </c>
      <c r="H486" s="3" t="s">
        <v>254</v>
      </c>
      <c r="I486" s="3" t="s">
        <v>255</v>
      </c>
      <c r="J486" s="3" t="s">
        <v>16</v>
      </c>
      <c r="K486" s="3" t="str">
        <f>"319-287-3845"</f>
        <v>319-287-3845</v>
      </c>
    </row>
    <row r="487" spans="1:11" x14ac:dyDescent="0.35">
      <c r="A487" s="3" t="str">
        <f>"06-28"</f>
        <v>06-28</v>
      </c>
      <c r="B487" s="3"/>
      <c r="C487" s="3" t="s">
        <v>617</v>
      </c>
      <c r="D487" s="3" t="s">
        <v>422</v>
      </c>
      <c r="E487" s="3" t="s">
        <v>423</v>
      </c>
      <c r="F487" s="3" t="s">
        <v>618</v>
      </c>
      <c r="G487" s="3" t="s">
        <v>619</v>
      </c>
      <c r="H487" s="3" t="s">
        <v>591</v>
      </c>
      <c r="I487" s="3" t="s">
        <v>592</v>
      </c>
      <c r="J487" s="3" t="s">
        <v>16</v>
      </c>
      <c r="K487" s="3" t="str">
        <f>"515-707-6042"</f>
        <v>515-707-6042</v>
      </c>
    </row>
    <row r="488" spans="1:11" x14ac:dyDescent="0.35">
      <c r="A488" s="3" t="str">
        <f>"00-31"</f>
        <v>00-31</v>
      </c>
      <c r="B488" s="3" t="s">
        <v>79</v>
      </c>
      <c r="C488" s="3" t="s">
        <v>80</v>
      </c>
      <c r="D488" s="3" t="s">
        <v>81</v>
      </c>
      <c r="E488" s="3" t="s">
        <v>82</v>
      </c>
      <c r="F488" s="3" t="s">
        <v>85</v>
      </c>
      <c r="G488" s="3" t="s">
        <v>86</v>
      </c>
      <c r="H488" s="3" t="s">
        <v>83</v>
      </c>
      <c r="I488" s="3" t="s">
        <v>84</v>
      </c>
      <c r="J488" s="3" t="s">
        <v>87</v>
      </c>
      <c r="K488" s="3" t="str">
        <f>"602-200-5660"</f>
        <v>602-200-5660</v>
      </c>
    </row>
    <row r="489" spans="1:11" x14ac:dyDescent="0.35">
      <c r="A489" s="3" t="str">
        <f>"09-0956"</f>
        <v>09-0956</v>
      </c>
      <c r="B489" s="3" t="s">
        <v>900</v>
      </c>
      <c r="C489" s="3" t="s">
        <v>901</v>
      </c>
      <c r="D489" s="3" t="s">
        <v>110</v>
      </c>
      <c r="E489" s="3" t="s">
        <v>111</v>
      </c>
      <c r="F489" s="3" t="s">
        <v>902</v>
      </c>
      <c r="G489" s="3" t="s">
        <v>42</v>
      </c>
      <c r="H489" s="3" t="s">
        <v>39</v>
      </c>
      <c r="I489" s="3" t="s">
        <v>40</v>
      </c>
      <c r="J489" s="3" t="s">
        <v>44</v>
      </c>
      <c r="K489" s="3" t="str">
        <f>"515-262-5965"</f>
        <v>515-262-5965</v>
      </c>
    </row>
    <row r="490" spans="1:11" x14ac:dyDescent="0.35">
      <c r="A490" s="3" t="str">
        <f>"00-18"</f>
        <v>00-18</v>
      </c>
      <c r="B490" s="3" t="s">
        <v>45</v>
      </c>
      <c r="C490" s="3" t="s">
        <v>46</v>
      </c>
      <c r="D490" s="3" t="s">
        <v>47</v>
      </c>
      <c r="E490" s="3" t="s">
        <v>48</v>
      </c>
      <c r="F490" s="3" t="s">
        <v>49</v>
      </c>
      <c r="G490" s="3" t="s">
        <v>42</v>
      </c>
      <c r="H490" s="3" t="s">
        <v>39</v>
      </c>
      <c r="I490" s="3" t="s">
        <v>40</v>
      </c>
      <c r="J490" s="3" t="s">
        <v>44</v>
      </c>
      <c r="K490" s="3" t="str">
        <f>"515-262-5965"</f>
        <v>515-262-5965</v>
      </c>
    </row>
    <row r="491" spans="1:11" x14ac:dyDescent="0.35">
      <c r="A491" s="3" t="str">
        <f>"02-20"</f>
        <v>02-20</v>
      </c>
      <c r="B491" s="3" t="s">
        <v>242</v>
      </c>
      <c r="C491" s="3" t="s">
        <v>243</v>
      </c>
      <c r="D491" s="3" t="s">
        <v>244</v>
      </c>
      <c r="E491" s="3" t="s">
        <v>245</v>
      </c>
      <c r="F491" s="3" t="s">
        <v>248</v>
      </c>
      <c r="G491" s="3" t="s">
        <v>247</v>
      </c>
      <c r="H491" s="3" t="s">
        <v>246</v>
      </c>
      <c r="I491" s="3" t="s">
        <v>247</v>
      </c>
      <c r="J491" s="3" t="s">
        <v>16</v>
      </c>
      <c r="K491" s="3" t="str">
        <f>"262-790-4560"</f>
        <v>262-790-4560</v>
      </c>
    </row>
    <row r="492" spans="1:11" x14ac:dyDescent="0.35">
      <c r="A492" s="3" t="str">
        <f>"10-10-228"</f>
        <v>10-10-228</v>
      </c>
      <c r="B492" s="3"/>
      <c r="C492" s="3" t="s">
        <v>948</v>
      </c>
      <c r="D492" s="3" t="s">
        <v>949</v>
      </c>
      <c r="E492" s="3" t="s">
        <v>950</v>
      </c>
      <c r="F492" s="3" t="s">
        <v>951</v>
      </c>
      <c r="G492" s="3" t="s">
        <v>705</v>
      </c>
      <c r="H492" s="3" t="s">
        <v>704</v>
      </c>
      <c r="I492" s="3" t="s">
        <v>705</v>
      </c>
      <c r="J492" s="3" t="s">
        <v>31</v>
      </c>
      <c r="K492" s="3" t="str">
        <f>"515-490-9001"</f>
        <v>515-490-9001</v>
      </c>
    </row>
    <row r="493" spans="1:11" x14ac:dyDescent="0.35">
      <c r="A493" s="3" t="str">
        <f>"93-22"</f>
        <v>93-22</v>
      </c>
      <c r="B493" s="3"/>
      <c r="C493" s="3" t="s">
        <v>1659</v>
      </c>
      <c r="D493" s="3" t="s">
        <v>308</v>
      </c>
      <c r="E493" s="3" t="s">
        <v>309</v>
      </c>
      <c r="F493" s="3" t="s">
        <v>1660</v>
      </c>
      <c r="G493" s="3" t="s">
        <v>108</v>
      </c>
      <c r="H493" s="3" t="s">
        <v>105</v>
      </c>
      <c r="I493" s="3" t="s">
        <v>106</v>
      </c>
      <c r="J493" s="3" t="s">
        <v>87</v>
      </c>
      <c r="K493" s="3" t="str">
        <f>"712-240-2188"</f>
        <v>712-240-2188</v>
      </c>
    </row>
    <row r="494" spans="1:11" x14ac:dyDescent="0.35">
      <c r="A494" s="3" t="str">
        <f>"17-09"</f>
        <v>17-09</v>
      </c>
      <c r="B494" s="3"/>
      <c r="C494" s="3" t="s">
        <v>1408</v>
      </c>
      <c r="D494" s="3" t="s">
        <v>52</v>
      </c>
      <c r="E494" s="3" t="s">
        <v>38</v>
      </c>
      <c r="F494" s="3" t="s">
        <v>1410</v>
      </c>
      <c r="G494" s="3" t="s">
        <v>1411</v>
      </c>
      <c r="H494" s="3" t="s">
        <v>1094</v>
      </c>
      <c r="I494" s="3" t="s">
        <v>1409</v>
      </c>
      <c r="J494" s="3" t="s">
        <v>78</v>
      </c>
      <c r="K494" s="3" t="str">
        <f>"712-647-3355"</f>
        <v>712-647-3355</v>
      </c>
    </row>
    <row r="495" spans="1:11" x14ac:dyDescent="0.35">
      <c r="A495" s="3" t="str">
        <f>"15-15-16"</f>
        <v>15-15-16</v>
      </c>
      <c r="B495" s="3" t="s">
        <v>1317</v>
      </c>
      <c r="C495" s="3" t="s">
        <v>1318</v>
      </c>
      <c r="D495" s="3" t="s">
        <v>265</v>
      </c>
      <c r="E495" s="3" t="s">
        <v>111</v>
      </c>
      <c r="F495" s="3" t="s">
        <v>1321</v>
      </c>
      <c r="G495" s="3" t="s">
        <v>1322</v>
      </c>
      <c r="H495" s="3" t="s">
        <v>1319</v>
      </c>
      <c r="I495" s="3" t="s">
        <v>1320</v>
      </c>
      <c r="J495" s="3" t="s">
        <v>87</v>
      </c>
      <c r="K495" s="3" t="str">
        <f>"847-849-5307"</f>
        <v>847-849-5307</v>
      </c>
    </row>
    <row r="496" spans="1:11" x14ac:dyDescent="0.35">
      <c r="A496" s="4" t="str">
        <f>"99-57"</f>
        <v>99-57</v>
      </c>
      <c r="B496" s="4"/>
      <c r="C496" s="4" t="s">
        <v>2028</v>
      </c>
      <c r="D496" s="4" t="s">
        <v>1290</v>
      </c>
      <c r="E496" s="4" t="s">
        <v>1291</v>
      </c>
      <c r="F496" s="4" t="s">
        <v>2029</v>
      </c>
      <c r="G496" s="4" t="s">
        <v>247</v>
      </c>
      <c r="H496" s="4" t="s">
        <v>246</v>
      </c>
      <c r="I496" s="4" t="s">
        <v>247</v>
      </c>
      <c r="J496" s="4" t="s">
        <v>2064</v>
      </c>
      <c r="K496" s="4" t="str">
        <f>"262-790-4560"</f>
        <v>262-790-4560</v>
      </c>
    </row>
    <row r="497" spans="1:11" x14ac:dyDescent="0.35">
      <c r="A497" s="3" t="str">
        <f>"94-42"</f>
        <v>94-42</v>
      </c>
      <c r="B497" s="3"/>
      <c r="C497" s="3" t="s">
        <v>1727</v>
      </c>
      <c r="D497" s="3" t="s">
        <v>25</v>
      </c>
      <c r="E497" s="3" t="s">
        <v>26</v>
      </c>
      <c r="F497" s="3" t="s">
        <v>1728</v>
      </c>
      <c r="G497" s="3" t="s">
        <v>282</v>
      </c>
      <c r="H497" s="3" t="s">
        <v>266</v>
      </c>
      <c r="I497" s="3" t="s">
        <v>280</v>
      </c>
      <c r="J497" s="3" t="s">
        <v>78</v>
      </c>
      <c r="K497" s="3" t="str">
        <f>"402-952-4599"</f>
        <v>402-952-4599</v>
      </c>
    </row>
    <row r="498" spans="1:11" x14ac:dyDescent="0.35">
      <c r="A498" s="3" t="str">
        <f>"95-05"</f>
        <v>95-05</v>
      </c>
      <c r="B498" s="3"/>
      <c r="C498" s="3" t="s">
        <v>1740</v>
      </c>
      <c r="D498" s="3" t="s">
        <v>25</v>
      </c>
      <c r="E498" s="3" t="s">
        <v>26</v>
      </c>
      <c r="F498" s="3" t="s">
        <v>1728</v>
      </c>
      <c r="G498" s="3" t="s">
        <v>282</v>
      </c>
      <c r="H498" s="3" t="s">
        <v>266</v>
      </c>
      <c r="I498" s="3" t="s">
        <v>280</v>
      </c>
      <c r="J498" s="3" t="s">
        <v>78</v>
      </c>
      <c r="K498" s="3" t="str">
        <f>"402-952-4599"</f>
        <v>402-952-4599</v>
      </c>
    </row>
    <row r="499" spans="1:11" x14ac:dyDescent="0.35">
      <c r="A499" s="3" t="str">
        <f>"16-07"</f>
        <v>16-07</v>
      </c>
      <c r="B499" s="3"/>
      <c r="C499" s="3" t="s">
        <v>1375</v>
      </c>
      <c r="D499" s="3" t="s">
        <v>159</v>
      </c>
      <c r="E499" s="3" t="s">
        <v>160</v>
      </c>
      <c r="F499" s="3" t="s">
        <v>1376</v>
      </c>
      <c r="G499" s="3" t="s">
        <v>162</v>
      </c>
      <c r="H499" s="3" t="s">
        <v>161</v>
      </c>
      <c r="I499" s="3" t="s">
        <v>162</v>
      </c>
      <c r="J499" s="3" t="s">
        <v>31</v>
      </c>
      <c r="K499" s="3" t="str">
        <f>"515-244-8308"</f>
        <v>515-244-8308</v>
      </c>
    </row>
    <row r="500" spans="1:11" x14ac:dyDescent="0.35">
      <c r="A500" s="3" t="str">
        <f>"00-40"</f>
        <v>00-40</v>
      </c>
      <c r="B500" s="3"/>
      <c r="C500" s="3" t="s">
        <v>98</v>
      </c>
      <c r="D500" s="3" t="s">
        <v>52</v>
      </c>
      <c r="E500" s="3" t="s">
        <v>38</v>
      </c>
      <c r="F500" s="3" t="s">
        <v>99</v>
      </c>
      <c r="G500" s="3" t="s">
        <v>100</v>
      </c>
      <c r="H500" s="3" t="s">
        <v>99</v>
      </c>
      <c r="I500" s="3" t="s">
        <v>100</v>
      </c>
      <c r="J500" s="3" t="s">
        <v>87</v>
      </c>
      <c r="K500" s="3" t="str">
        <f>"712-252-1861"</f>
        <v>712-252-1861</v>
      </c>
    </row>
    <row r="501" spans="1:11" x14ac:dyDescent="0.35">
      <c r="A501" s="3" t="str">
        <f>"12-12-19"</f>
        <v>12-12-19</v>
      </c>
      <c r="B501" s="3"/>
      <c r="C501" s="3" t="s">
        <v>1124</v>
      </c>
      <c r="D501" s="3" t="s">
        <v>159</v>
      </c>
      <c r="E501" s="3" t="s">
        <v>160</v>
      </c>
      <c r="F501" s="3" t="s">
        <v>1125</v>
      </c>
      <c r="G501" s="3" t="s">
        <v>162</v>
      </c>
      <c r="H501" s="3" t="s">
        <v>161</v>
      </c>
      <c r="I501" s="3" t="s">
        <v>162</v>
      </c>
      <c r="J501" s="3" t="s">
        <v>31</v>
      </c>
      <c r="K501" s="3" t="str">
        <f>"515-244-8308"</f>
        <v>515-244-8308</v>
      </c>
    </row>
    <row r="502" spans="1:11" x14ac:dyDescent="0.35">
      <c r="A502" s="3" t="str">
        <f>"18-11"</f>
        <v>18-11</v>
      </c>
      <c r="B502" s="3"/>
      <c r="C502" s="3" t="s">
        <v>1443</v>
      </c>
      <c r="D502" s="3" t="s">
        <v>52</v>
      </c>
      <c r="E502" s="3" t="s">
        <v>38</v>
      </c>
      <c r="F502" s="3" t="s">
        <v>1445</v>
      </c>
      <c r="G502" s="3" t="s">
        <v>1411</v>
      </c>
      <c r="H502" s="3" t="s">
        <v>1094</v>
      </c>
      <c r="I502" s="3" t="s">
        <v>1444</v>
      </c>
      <c r="J502" s="3" t="s">
        <v>31</v>
      </c>
      <c r="K502" s="3" t="str">
        <f>"712-647-3355"</f>
        <v>712-647-3355</v>
      </c>
    </row>
    <row r="503" spans="1:11" x14ac:dyDescent="0.35">
      <c r="A503" s="3" t="str">
        <f>"04-22"</f>
        <v>04-22</v>
      </c>
      <c r="B503" s="3" t="s">
        <v>392</v>
      </c>
      <c r="C503" s="3" t="s">
        <v>393</v>
      </c>
      <c r="D503" s="3" t="s">
        <v>110</v>
      </c>
      <c r="E503" s="3" t="s">
        <v>111</v>
      </c>
      <c r="F503" s="3" t="s">
        <v>394</v>
      </c>
      <c r="G503" s="3" t="s">
        <v>42</v>
      </c>
      <c r="H503" s="3" t="s">
        <v>39</v>
      </c>
      <c r="I503" s="3" t="s">
        <v>40</v>
      </c>
      <c r="J503" s="3" t="s">
        <v>44</v>
      </c>
      <c r="K503" s="3" t="str">
        <f>"515-262-5965"</f>
        <v>515-262-5965</v>
      </c>
    </row>
    <row r="504" spans="1:11" x14ac:dyDescent="0.35">
      <c r="A504" s="3" t="str">
        <f>"93-51"</f>
        <v>93-51</v>
      </c>
      <c r="B504" s="3" t="str">
        <f>"92-300-721-04"</f>
        <v>92-300-721-04</v>
      </c>
      <c r="C504" s="3" t="s">
        <v>1699</v>
      </c>
      <c r="D504" s="3" t="s">
        <v>1575</v>
      </c>
      <c r="E504" s="3" t="s">
        <v>160</v>
      </c>
      <c r="F504" s="3" t="s">
        <v>1702</v>
      </c>
      <c r="G504" s="3" t="s">
        <v>1701</v>
      </c>
      <c r="H504" s="3" t="s">
        <v>1700</v>
      </c>
      <c r="I504" s="3" t="s">
        <v>1701</v>
      </c>
      <c r="J504" s="3" t="s">
        <v>31</v>
      </c>
      <c r="K504" s="3" t="str">
        <f>"515-957-3343"</f>
        <v>515-957-3343</v>
      </c>
    </row>
    <row r="505" spans="1:11" x14ac:dyDescent="0.35">
      <c r="A505" s="3" t="s">
        <v>116</v>
      </c>
      <c r="B505" s="3" t="s">
        <v>116</v>
      </c>
      <c r="C505" s="3" t="s">
        <v>117</v>
      </c>
      <c r="D505" s="3" t="s">
        <v>57</v>
      </c>
      <c r="E505" s="3" t="s">
        <v>58</v>
      </c>
      <c r="F505" s="3" t="s">
        <v>118</v>
      </c>
      <c r="G505" s="3" t="s">
        <v>119</v>
      </c>
      <c r="H505" s="3" t="s">
        <v>118</v>
      </c>
      <c r="I505" s="3" t="s">
        <v>119</v>
      </c>
      <c r="J505" s="3" t="s">
        <v>31</v>
      </c>
      <c r="K505" s="3" t="str">
        <f>"319-358-9212"</f>
        <v>319-358-9212</v>
      </c>
    </row>
    <row r="506" spans="1:11" x14ac:dyDescent="0.35">
      <c r="A506" s="3" t="s">
        <v>290</v>
      </c>
      <c r="B506" s="3" t="s">
        <v>290</v>
      </c>
      <c r="C506" s="3" t="s">
        <v>117</v>
      </c>
      <c r="D506" s="3" t="s">
        <v>57</v>
      </c>
      <c r="E506" s="3" t="s">
        <v>58</v>
      </c>
      <c r="F506" s="3" t="s">
        <v>118</v>
      </c>
      <c r="G506" s="3" t="s">
        <v>119</v>
      </c>
      <c r="H506" s="3" t="s">
        <v>118</v>
      </c>
      <c r="I506" s="3" t="s">
        <v>119</v>
      </c>
      <c r="J506" s="3" t="s">
        <v>31</v>
      </c>
      <c r="K506" s="3" t="str">
        <f>"319-358-9212"</f>
        <v>319-358-9212</v>
      </c>
    </row>
    <row r="507" spans="1:11" x14ac:dyDescent="0.35">
      <c r="A507" s="3" t="s">
        <v>1301</v>
      </c>
      <c r="B507" s="3" t="s">
        <v>1301</v>
      </c>
      <c r="C507" s="3" t="s">
        <v>1302</v>
      </c>
      <c r="D507" s="3" t="s">
        <v>57</v>
      </c>
      <c r="E507" s="3" t="s">
        <v>58</v>
      </c>
      <c r="F507" s="3" t="s">
        <v>118</v>
      </c>
      <c r="G507" s="3" t="s">
        <v>119</v>
      </c>
      <c r="H507" s="3" t="s">
        <v>118</v>
      </c>
      <c r="I507" s="3" t="s">
        <v>119</v>
      </c>
      <c r="J507" s="3" t="s">
        <v>31</v>
      </c>
      <c r="K507" s="3" t="str">
        <f>"319-358-9212"</f>
        <v>319-358-9212</v>
      </c>
    </row>
    <row r="508" spans="1:11" x14ac:dyDescent="0.35">
      <c r="A508" s="3" t="s">
        <v>1400</v>
      </c>
      <c r="B508" s="3" t="s">
        <v>1400</v>
      </c>
      <c r="C508" s="3" t="s">
        <v>1401</v>
      </c>
      <c r="D508" s="3" t="s">
        <v>57</v>
      </c>
      <c r="E508" s="3" t="s">
        <v>58</v>
      </c>
      <c r="F508" s="3" t="s">
        <v>118</v>
      </c>
      <c r="G508" s="3" t="s">
        <v>119</v>
      </c>
      <c r="H508" s="3" t="s">
        <v>118</v>
      </c>
      <c r="I508" s="3" t="s">
        <v>119</v>
      </c>
      <c r="J508" s="3" t="s">
        <v>31</v>
      </c>
      <c r="K508" s="3" t="str">
        <f>"319-358-9212"</f>
        <v>319-358-9212</v>
      </c>
    </row>
    <row r="509" spans="1:11" x14ac:dyDescent="0.35">
      <c r="A509" s="3" t="s">
        <v>460</v>
      </c>
      <c r="B509" s="3" t="s">
        <v>460</v>
      </c>
      <c r="C509" s="3" t="s">
        <v>461</v>
      </c>
      <c r="D509" s="3" t="s">
        <v>57</v>
      </c>
      <c r="E509" s="3" t="s">
        <v>58</v>
      </c>
      <c r="F509" s="3" t="s">
        <v>118</v>
      </c>
      <c r="G509" s="3" t="s">
        <v>119</v>
      </c>
      <c r="H509" s="3" t="s">
        <v>118</v>
      </c>
      <c r="I509" s="3" t="s">
        <v>119</v>
      </c>
      <c r="J509" s="3" t="s">
        <v>31</v>
      </c>
      <c r="K509" s="3" t="str">
        <f>"319-358-9212"</f>
        <v>319-358-9212</v>
      </c>
    </row>
    <row r="510" spans="1:11" x14ac:dyDescent="0.35">
      <c r="A510" s="3" t="str">
        <f>"10-10-25"</f>
        <v>10-10-25</v>
      </c>
      <c r="B510" s="3"/>
      <c r="C510" s="3" t="s">
        <v>980</v>
      </c>
      <c r="D510" s="3" t="s">
        <v>244</v>
      </c>
      <c r="E510" s="3" t="s">
        <v>245</v>
      </c>
      <c r="F510" s="3" t="s">
        <v>983</v>
      </c>
      <c r="G510" s="3" t="s">
        <v>674</v>
      </c>
      <c r="H510" s="3" t="s">
        <v>981</v>
      </c>
      <c r="I510" s="3" t="s">
        <v>982</v>
      </c>
      <c r="J510" s="3" t="s">
        <v>87</v>
      </c>
      <c r="K510" s="3" t="str">
        <f>"651-523-1252"</f>
        <v>651-523-1252</v>
      </c>
    </row>
    <row r="511" spans="1:11" x14ac:dyDescent="0.35">
      <c r="A511" s="3" t="str">
        <f>"11-11-23"</f>
        <v>11-11-23</v>
      </c>
      <c r="B511" s="3"/>
      <c r="C511" s="3" t="s">
        <v>1071</v>
      </c>
      <c r="D511" s="3" t="s">
        <v>10</v>
      </c>
      <c r="E511" s="3" t="s">
        <v>11</v>
      </c>
      <c r="F511" s="3" t="s">
        <v>1072</v>
      </c>
      <c r="G511" s="3" t="s">
        <v>322</v>
      </c>
      <c r="H511" s="3" t="s">
        <v>319</v>
      </c>
      <c r="I511" s="3" t="s">
        <v>320</v>
      </c>
      <c r="J511" s="3" t="s">
        <v>16</v>
      </c>
      <c r="K511" s="3" t="str">
        <f>"651-815-0665"</f>
        <v>651-815-0665</v>
      </c>
    </row>
    <row r="512" spans="1:11" x14ac:dyDescent="0.35">
      <c r="A512" s="3" t="s">
        <v>1231</v>
      </c>
      <c r="B512" s="3" t="s">
        <v>1231</v>
      </c>
      <c r="C512" s="3" t="s">
        <v>1232</v>
      </c>
      <c r="D512" s="3" t="s">
        <v>110</v>
      </c>
      <c r="E512" s="3" t="s">
        <v>111</v>
      </c>
      <c r="F512" s="3" t="s">
        <v>259</v>
      </c>
      <c r="G512" s="3" t="s">
        <v>262</v>
      </c>
      <c r="H512" s="3" t="s">
        <v>259</v>
      </c>
      <c r="I512" s="3" t="s">
        <v>260</v>
      </c>
      <c r="J512" s="3" t="s">
        <v>16</v>
      </c>
      <c r="K512" s="3" t="str">
        <f>"319-784-2030"</f>
        <v>319-784-2030</v>
      </c>
    </row>
    <row r="513" spans="1:11" x14ac:dyDescent="0.35">
      <c r="A513" s="3" t="str">
        <f>"03-24"</f>
        <v>03-24</v>
      </c>
      <c r="B513" s="3" t="s">
        <v>333</v>
      </c>
      <c r="C513" s="3" t="s">
        <v>334</v>
      </c>
      <c r="D513" s="3" t="s">
        <v>159</v>
      </c>
      <c r="E513" s="3" t="s">
        <v>160</v>
      </c>
      <c r="F513" s="3" t="s">
        <v>335</v>
      </c>
      <c r="G513" s="3" t="s">
        <v>108</v>
      </c>
      <c r="H513" s="3" t="s">
        <v>83</v>
      </c>
      <c r="I513" s="3" t="s">
        <v>84</v>
      </c>
      <c r="J513" s="3" t="s">
        <v>87</v>
      </c>
      <c r="K513" s="3" t="str">
        <f>"712-240-2188"</f>
        <v>712-240-2188</v>
      </c>
    </row>
    <row r="514" spans="1:11" x14ac:dyDescent="0.35">
      <c r="A514" s="3" t="str">
        <f>"90-52"</f>
        <v>90-52</v>
      </c>
      <c r="B514" s="3"/>
      <c r="C514" s="3" t="s">
        <v>1528</v>
      </c>
      <c r="D514" s="3" t="s">
        <v>431</v>
      </c>
      <c r="E514" s="3" t="s">
        <v>230</v>
      </c>
      <c r="F514" s="3" t="s">
        <v>1531</v>
      </c>
      <c r="G514" s="3" t="s">
        <v>1532</v>
      </c>
      <c r="H514" s="3" t="s">
        <v>1529</v>
      </c>
      <c r="I514" s="3" t="s">
        <v>1530</v>
      </c>
      <c r="J514" s="3" t="s">
        <v>87</v>
      </c>
      <c r="K514" s="3" t="str">
        <f>"515-422-6717"</f>
        <v>515-422-6717</v>
      </c>
    </row>
    <row r="515" spans="1:11" x14ac:dyDescent="0.35">
      <c r="A515" s="3" t="str">
        <f>"09-0928"</f>
        <v>09-0928</v>
      </c>
      <c r="B515" s="3"/>
      <c r="C515" s="3" t="s">
        <v>870</v>
      </c>
      <c r="D515" s="3" t="s">
        <v>166</v>
      </c>
      <c r="E515" s="3" t="s">
        <v>167</v>
      </c>
      <c r="F515" s="3" t="s">
        <v>873</v>
      </c>
      <c r="G515" s="3" t="s">
        <v>874</v>
      </c>
      <c r="H515" s="3" t="s">
        <v>871</v>
      </c>
      <c r="I515" s="3" t="s">
        <v>872</v>
      </c>
      <c r="J515" s="3" t="s">
        <v>87</v>
      </c>
      <c r="K515" s="3" t="str">
        <f>"513-755-2571"</f>
        <v>513-755-2571</v>
      </c>
    </row>
    <row r="516" spans="1:11" x14ac:dyDescent="0.35">
      <c r="A516" s="3" t="str">
        <f>"14-14-30"</f>
        <v>14-14-30</v>
      </c>
      <c r="B516" s="3" t="s">
        <v>1270</v>
      </c>
      <c r="C516" s="3" t="s">
        <v>1271</v>
      </c>
      <c r="D516" s="3" t="s">
        <v>1272</v>
      </c>
      <c r="E516" s="3" t="s">
        <v>1273</v>
      </c>
      <c r="F516" s="3" t="s">
        <v>1274</v>
      </c>
      <c r="G516" s="3" t="s">
        <v>1199</v>
      </c>
      <c r="H516" s="3" t="s">
        <v>1019</v>
      </c>
      <c r="I516" s="3" t="s">
        <v>1020</v>
      </c>
      <c r="J516" s="3" t="s">
        <v>16</v>
      </c>
      <c r="K516" s="3" t="str">
        <f>"913-396-6310"</f>
        <v>913-396-6310</v>
      </c>
    </row>
    <row r="517" spans="1:11" x14ac:dyDescent="0.35">
      <c r="A517" s="3" t="str">
        <f>"14-14-31"</f>
        <v>14-14-31</v>
      </c>
      <c r="B517" s="3"/>
      <c r="C517" s="3" t="s">
        <v>1275</v>
      </c>
      <c r="D517" s="3" t="s">
        <v>772</v>
      </c>
      <c r="E517" s="3" t="s">
        <v>773</v>
      </c>
      <c r="F517" s="3" t="s">
        <v>1276</v>
      </c>
      <c r="G517" s="3" t="s">
        <v>1199</v>
      </c>
      <c r="H517" s="3" t="s">
        <v>1019</v>
      </c>
      <c r="I517" s="3" t="s">
        <v>1020</v>
      </c>
      <c r="J517" s="3" t="s">
        <v>16</v>
      </c>
      <c r="K517" s="3" t="str">
        <f>"913-396-6310"</f>
        <v>913-396-6310</v>
      </c>
    </row>
    <row r="518" spans="1:11" x14ac:dyDescent="0.35">
      <c r="A518" s="3" t="str">
        <f>"13-13-24"</f>
        <v>13-13-24</v>
      </c>
      <c r="B518" s="3"/>
      <c r="C518" s="3" t="s">
        <v>1196</v>
      </c>
      <c r="D518" s="3" t="s">
        <v>1197</v>
      </c>
      <c r="E518" s="3" t="s">
        <v>270</v>
      </c>
      <c r="F518" s="3" t="s">
        <v>1198</v>
      </c>
      <c r="G518" s="3" t="s">
        <v>1199</v>
      </c>
      <c r="H518" s="3" t="s">
        <v>1019</v>
      </c>
      <c r="I518" s="3" t="s">
        <v>1020</v>
      </c>
      <c r="J518" s="3" t="s">
        <v>16</v>
      </c>
      <c r="K518" s="3" t="str">
        <f>"913-396-6310"</f>
        <v>913-396-6310</v>
      </c>
    </row>
    <row r="519" spans="1:11" x14ac:dyDescent="0.35">
      <c r="A519" s="3" t="str">
        <f>"13-13-25"</f>
        <v>13-13-25</v>
      </c>
      <c r="B519" s="3"/>
      <c r="C519" s="3" t="s">
        <v>1200</v>
      </c>
      <c r="D519" s="3" t="s">
        <v>503</v>
      </c>
      <c r="E519" s="3" t="s">
        <v>504</v>
      </c>
      <c r="F519" s="3" t="s">
        <v>1201</v>
      </c>
      <c r="G519" s="3" t="s">
        <v>1199</v>
      </c>
      <c r="H519" s="3" t="s">
        <v>1019</v>
      </c>
      <c r="I519" s="3" t="s">
        <v>1020</v>
      </c>
      <c r="J519" s="3" t="s">
        <v>16</v>
      </c>
      <c r="K519" s="3" t="str">
        <f>"913-396-6310"</f>
        <v>913-396-6310</v>
      </c>
    </row>
    <row r="520" spans="1:11" x14ac:dyDescent="0.35">
      <c r="A520" s="3" t="str">
        <f>"08-0921"</f>
        <v>08-0921</v>
      </c>
      <c r="B520" s="3"/>
      <c r="C520" s="3" t="s">
        <v>805</v>
      </c>
      <c r="D520" s="3" t="s">
        <v>110</v>
      </c>
      <c r="E520" s="3" t="s">
        <v>111</v>
      </c>
      <c r="F520" s="3" t="s">
        <v>806</v>
      </c>
      <c r="G520" s="3" t="s">
        <v>450</v>
      </c>
      <c r="H520" s="3" t="s">
        <v>447</v>
      </c>
      <c r="I520" s="3" t="s">
        <v>448</v>
      </c>
      <c r="J520" s="3" t="s">
        <v>31</v>
      </c>
      <c r="K520" s="3" t="str">
        <f>"612-332-3000"</f>
        <v>612-332-3000</v>
      </c>
    </row>
    <row r="521" spans="1:11" x14ac:dyDescent="0.35">
      <c r="A521" s="3" t="str">
        <f>"03-37"</f>
        <v>03-37</v>
      </c>
      <c r="B521" s="3"/>
      <c r="C521" s="3" t="s">
        <v>356</v>
      </c>
      <c r="D521" s="3" t="s">
        <v>284</v>
      </c>
      <c r="E521" s="3" t="s">
        <v>285</v>
      </c>
      <c r="F521" s="3" t="s">
        <v>359</v>
      </c>
      <c r="G521" s="3" t="s">
        <v>358</v>
      </c>
      <c r="H521" s="3" t="s">
        <v>357</v>
      </c>
      <c r="I521" s="3" t="s">
        <v>358</v>
      </c>
      <c r="J521" s="3" t="s">
        <v>31</v>
      </c>
      <c r="K521" s="3" t="str">
        <f>"952-447-2345"</f>
        <v>952-447-2345</v>
      </c>
    </row>
    <row r="522" spans="1:11" x14ac:dyDescent="0.35">
      <c r="A522" s="3" t="str">
        <f>"09-0946"</f>
        <v>09-0946</v>
      </c>
      <c r="B522" s="3"/>
      <c r="C522" s="3" t="s">
        <v>893</v>
      </c>
      <c r="D522" s="3" t="s">
        <v>25</v>
      </c>
      <c r="E522" s="3" t="s">
        <v>26</v>
      </c>
      <c r="F522" s="3" t="s">
        <v>894</v>
      </c>
      <c r="G522" s="3" t="s">
        <v>358</v>
      </c>
      <c r="H522" s="3" t="s">
        <v>357</v>
      </c>
      <c r="I522" s="3" t="s">
        <v>358</v>
      </c>
      <c r="J522" s="3" t="s">
        <v>31</v>
      </c>
      <c r="K522" s="3" t="str">
        <f>"952-447-2345"</f>
        <v>952-447-2345</v>
      </c>
    </row>
    <row r="523" spans="1:11" x14ac:dyDescent="0.35">
      <c r="A523" s="3" t="str">
        <f>"04-23"</f>
        <v>04-23</v>
      </c>
      <c r="B523" s="3" t="s">
        <v>395</v>
      </c>
      <c r="C523" s="3" t="s">
        <v>396</v>
      </c>
      <c r="D523" s="3" t="s">
        <v>159</v>
      </c>
      <c r="E523" s="3" t="s">
        <v>160</v>
      </c>
      <c r="F523" s="3" t="s">
        <v>397</v>
      </c>
      <c r="G523" s="3" t="s">
        <v>358</v>
      </c>
      <c r="H523" s="3" t="s">
        <v>357</v>
      </c>
      <c r="I523" s="3" t="s">
        <v>358</v>
      </c>
      <c r="J523" s="3" t="s">
        <v>31</v>
      </c>
      <c r="K523" s="3" t="str">
        <f>"952-447-2345"</f>
        <v>952-447-2345</v>
      </c>
    </row>
    <row r="524" spans="1:11" x14ac:dyDescent="0.35">
      <c r="A524" s="3" t="str">
        <f>"11-11-54"</f>
        <v>11-11-54</v>
      </c>
      <c r="B524" s="3"/>
      <c r="C524" s="3" t="s">
        <v>1087</v>
      </c>
      <c r="D524" s="3" t="s">
        <v>18</v>
      </c>
      <c r="E524" s="3" t="s">
        <v>19</v>
      </c>
      <c r="F524" s="3" t="s">
        <v>1088</v>
      </c>
      <c r="G524" s="3" t="s">
        <v>358</v>
      </c>
      <c r="H524" s="3" t="s">
        <v>357</v>
      </c>
      <c r="I524" s="3" t="s">
        <v>358</v>
      </c>
      <c r="J524" s="3" t="s">
        <v>31</v>
      </c>
      <c r="K524" s="3" t="str">
        <f>"952-447-2345"</f>
        <v>952-447-2345</v>
      </c>
    </row>
    <row r="525" spans="1:11" x14ac:dyDescent="0.35">
      <c r="A525" s="3" t="str">
        <f>"07-17"</f>
        <v>07-17</v>
      </c>
      <c r="B525" s="3"/>
      <c r="C525" s="3" t="s">
        <v>684</v>
      </c>
      <c r="D525" s="3" t="s">
        <v>159</v>
      </c>
      <c r="E525" s="3" t="s">
        <v>160</v>
      </c>
      <c r="F525" s="3" t="s">
        <v>685</v>
      </c>
      <c r="G525" s="3" t="s">
        <v>358</v>
      </c>
      <c r="H525" s="3" t="s">
        <v>357</v>
      </c>
      <c r="I525" s="3" t="s">
        <v>358</v>
      </c>
      <c r="J525" s="3" t="s">
        <v>31</v>
      </c>
      <c r="K525" s="3" t="str">
        <f>"952-447-2345"</f>
        <v>952-447-2345</v>
      </c>
    </row>
    <row r="526" spans="1:11" x14ac:dyDescent="0.35">
      <c r="A526" s="3" t="str">
        <f>"06-01"</f>
        <v>06-01</v>
      </c>
      <c r="B526" s="3"/>
      <c r="C526" s="3" t="s">
        <v>564</v>
      </c>
      <c r="D526" s="3" t="s">
        <v>166</v>
      </c>
      <c r="E526" s="3" t="s">
        <v>167</v>
      </c>
      <c r="F526" s="3" t="s">
        <v>565</v>
      </c>
      <c r="G526" s="3" t="s">
        <v>358</v>
      </c>
      <c r="H526" s="3" t="s">
        <v>357</v>
      </c>
      <c r="I526" s="3" t="s">
        <v>358</v>
      </c>
      <c r="J526" s="3" t="s">
        <v>31</v>
      </c>
      <c r="K526" s="3" t="str">
        <f>"952-447-2345"</f>
        <v>952-447-2345</v>
      </c>
    </row>
    <row r="527" spans="1:11" x14ac:dyDescent="0.35">
      <c r="A527" s="3" t="s">
        <v>291</v>
      </c>
      <c r="B527" s="3" t="s">
        <v>291</v>
      </c>
      <c r="C527" s="3" t="s">
        <v>292</v>
      </c>
      <c r="D527" s="3" t="s">
        <v>166</v>
      </c>
      <c r="E527" s="3" t="s">
        <v>167</v>
      </c>
      <c r="F527" s="3" t="s">
        <v>293</v>
      </c>
      <c r="G527" s="3" t="s">
        <v>294</v>
      </c>
      <c r="H527" s="3" t="s">
        <v>293</v>
      </c>
      <c r="I527" s="3" t="s">
        <v>294</v>
      </c>
      <c r="J527" s="3" t="s">
        <v>87</v>
      </c>
      <c r="K527" s="3" t="str">
        <f>"319-235-9358"</f>
        <v>319-235-9358</v>
      </c>
    </row>
    <row r="528" spans="1:11" x14ac:dyDescent="0.35">
      <c r="A528" s="3" t="str">
        <f>"12-12-20"</f>
        <v>12-12-20</v>
      </c>
      <c r="B528" s="3"/>
      <c r="C528" s="3" t="s">
        <v>1126</v>
      </c>
      <c r="D528" s="3" t="s">
        <v>149</v>
      </c>
      <c r="E528" s="3" t="s">
        <v>150</v>
      </c>
      <c r="F528" s="3" t="s">
        <v>1127</v>
      </c>
      <c r="G528" s="3" t="s">
        <v>857</v>
      </c>
      <c r="H528" s="3" t="s">
        <v>856</v>
      </c>
      <c r="I528" s="3" t="s">
        <v>857</v>
      </c>
      <c r="J528" s="3" t="s">
        <v>78</v>
      </c>
      <c r="K528" s="3" t="str">
        <f>"651-291-1750"</f>
        <v>651-291-1750</v>
      </c>
    </row>
    <row r="529" spans="1:11" x14ac:dyDescent="0.35">
      <c r="A529" s="3" t="str">
        <f>"09-0927"</f>
        <v>09-0927</v>
      </c>
      <c r="B529" s="3"/>
      <c r="C529" s="3" t="s">
        <v>868</v>
      </c>
      <c r="D529" s="3" t="s">
        <v>10</v>
      </c>
      <c r="E529" s="3" t="s">
        <v>11</v>
      </c>
      <c r="F529" s="3" t="s">
        <v>869</v>
      </c>
      <c r="G529" s="3" t="s">
        <v>322</v>
      </c>
      <c r="H529" s="3" t="s">
        <v>319</v>
      </c>
      <c r="I529" s="3" t="s">
        <v>320</v>
      </c>
      <c r="J529" s="3" t="s">
        <v>16</v>
      </c>
      <c r="K529" s="3" t="str">
        <f>"651-815-0665"</f>
        <v>651-815-0665</v>
      </c>
    </row>
    <row r="530" spans="1:11" x14ac:dyDescent="0.35">
      <c r="A530" s="3" t="str">
        <f>"06-09"</f>
        <v>06-09</v>
      </c>
      <c r="B530" s="3" t="s">
        <v>568</v>
      </c>
      <c r="C530" s="3" t="s">
        <v>569</v>
      </c>
      <c r="D530" s="3" t="s">
        <v>110</v>
      </c>
      <c r="E530" s="3" t="s">
        <v>111</v>
      </c>
      <c r="F530" s="3" t="s">
        <v>570</v>
      </c>
      <c r="G530" s="3" t="s">
        <v>571</v>
      </c>
      <c r="H530" s="3" t="s">
        <v>259</v>
      </c>
      <c r="I530" s="3" t="s">
        <v>260</v>
      </c>
      <c r="J530" s="3" t="s">
        <v>16</v>
      </c>
      <c r="K530" s="3" t="str">
        <f>"319-390-4611"</f>
        <v>319-390-4611</v>
      </c>
    </row>
    <row r="531" spans="1:11" x14ac:dyDescent="0.35">
      <c r="A531" s="3" t="str">
        <f>"11-11-18"</f>
        <v>11-11-18</v>
      </c>
      <c r="B531" s="3"/>
      <c r="C531" s="3" t="s">
        <v>1062</v>
      </c>
      <c r="D531" s="3" t="s">
        <v>1063</v>
      </c>
      <c r="E531" s="3" t="s">
        <v>160</v>
      </c>
      <c r="F531" s="3" t="s">
        <v>1064</v>
      </c>
      <c r="G531" s="3" t="s">
        <v>15</v>
      </c>
      <c r="H531" s="3" t="s">
        <v>12</v>
      </c>
      <c r="I531" s="3" t="s">
        <v>13</v>
      </c>
      <c r="J531" s="3" t="s">
        <v>16</v>
      </c>
      <c r="K531" s="3" t="str">
        <f>"608-348-7755"</f>
        <v>608-348-7755</v>
      </c>
    </row>
    <row r="532" spans="1:11" x14ac:dyDescent="0.35">
      <c r="A532" s="3" t="str">
        <f>"02-14"</f>
        <v>02-14</v>
      </c>
      <c r="B532" s="3" t="s">
        <v>224</v>
      </c>
      <c r="C532" s="3" t="s">
        <v>225</v>
      </c>
      <c r="D532" s="3" t="s">
        <v>25</v>
      </c>
      <c r="E532" s="3" t="s">
        <v>26</v>
      </c>
      <c r="F532" s="3" t="s">
        <v>226</v>
      </c>
      <c r="G532" s="3" t="s">
        <v>42</v>
      </c>
      <c r="H532" s="3" t="s">
        <v>39</v>
      </c>
      <c r="I532" s="3" t="s">
        <v>40</v>
      </c>
      <c r="J532" s="3" t="s">
        <v>44</v>
      </c>
      <c r="K532" s="3" t="str">
        <f>"515-262-5965"</f>
        <v>515-262-5965</v>
      </c>
    </row>
    <row r="533" spans="1:11" x14ac:dyDescent="0.35">
      <c r="A533" s="3" t="str">
        <f>"10-10-263"</f>
        <v>10-10-263</v>
      </c>
      <c r="B533" s="3"/>
      <c r="C533" s="3" t="s">
        <v>999</v>
      </c>
      <c r="D533" s="3" t="s">
        <v>1000</v>
      </c>
      <c r="E533" s="3" t="s">
        <v>167</v>
      </c>
      <c r="F533" s="3" t="s">
        <v>1001</v>
      </c>
      <c r="G533" s="3" t="s">
        <v>282</v>
      </c>
      <c r="H533" s="3" t="s">
        <v>266</v>
      </c>
      <c r="I533" s="3" t="s">
        <v>280</v>
      </c>
      <c r="J533" s="3" t="s">
        <v>78</v>
      </c>
      <c r="K533" s="3" t="str">
        <f>"402-952-4599"</f>
        <v>402-952-4599</v>
      </c>
    </row>
    <row r="534" spans="1:11" x14ac:dyDescent="0.35">
      <c r="A534" s="3" t="str">
        <f>"07-10"</f>
        <v>07-10</v>
      </c>
      <c r="B534" s="3" t="s">
        <v>670</v>
      </c>
      <c r="C534" s="3" t="s">
        <v>671</v>
      </c>
      <c r="D534" s="3" t="s">
        <v>136</v>
      </c>
      <c r="E534" s="3" t="s">
        <v>137</v>
      </c>
      <c r="F534" s="3" t="s">
        <v>673</v>
      </c>
      <c r="G534" s="3" t="s">
        <v>674</v>
      </c>
      <c r="H534" s="3" t="s">
        <v>222</v>
      </c>
      <c r="I534" s="3" t="s">
        <v>672</v>
      </c>
      <c r="J534" s="3" t="s">
        <v>31</v>
      </c>
      <c r="K534" s="3" t="str">
        <f>"651-523-1252"</f>
        <v>651-523-1252</v>
      </c>
    </row>
    <row r="535" spans="1:11" x14ac:dyDescent="0.35">
      <c r="A535" s="3" t="str">
        <f>"04-50"</f>
        <v>04-50</v>
      </c>
      <c r="B535" s="3" t="s">
        <v>451</v>
      </c>
      <c r="C535" s="3" t="s">
        <v>452</v>
      </c>
      <c r="D535" s="3" t="s">
        <v>52</v>
      </c>
      <c r="E535" s="3" t="s">
        <v>38</v>
      </c>
      <c r="F535" s="3" t="s">
        <v>455</v>
      </c>
      <c r="G535" s="3" t="s">
        <v>456</v>
      </c>
      <c r="H535" s="3" t="s">
        <v>453</v>
      </c>
      <c r="I535" s="3" t="s">
        <v>454</v>
      </c>
      <c r="J535" s="3" t="s">
        <v>78</v>
      </c>
      <c r="K535" s="3" t="str">
        <f>"605-275-8033"</f>
        <v>605-275-8033</v>
      </c>
    </row>
    <row r="536" spans="1:11" x14ac:dyDescent="0.35">
      <c r="A536" s="3" t="str">
        <f>"98-11"</f>
        <v>98-11</v>
      </c>
      <c r="B536" s="3" t="s">
        <v>1911</v>
      </c>
      <c r="C536" s="3" t="s">
        <v>1912</v>
      </c>
      <c r="D536" s="3" t="s">
        <v>1913</v>
      </c>
      <c r="E536" s="3" t="s">
        <v>71</v>
      </c>
      <c r="F536" s="3" t="s">
        <v>1916</v>
      </c>
      <c r="G536" s="3" t="s">
        <v>1917</v>
      </c>
      <c r="H536" s="3" t="s">
        <v>1914</v>
      </c>
      <c r="I536" s="3" t="s">
        <v>1915</v>
      </c>
      <c r="J536" s="3" t="s">
        <v>78</v>
      </c>
      <c r="K536" s="3" t="str">
        <f>"319-528-4536"</f>
        <v>319-528-4536</v>
      </c>
    </row>
    <row r="537" spans="1:11" x14ac:dyDescent="0.35">
      <c r="A537" s="3" t="str">
        <f>"14-14-37"</f>
        <v>14-14-37</v>
      </c>
      <c r="B537" s="3" t="s">
        <v>1284</v>
      </c>
      <c r="C537" s="3" t="s">
        <v>1285</v>
      </c>
      <c r="D537" s="3" t="s">
        <v>1286</v>
      </c>
      <c r="E537" s="3" t="s">
        <v>142</v>
      </c>
      <c r="F537" s="3" t="s">
        <v>1287</v>
      </c>
      <c r="G537" s="3" t="s">
        <v>1288</v>
      </c>
      <c r="H537" s="3" t="s">
        <v>704</v>
      </c>
      <c r="I537" s="3" t="s">
        <v>705</v>
      </c>
      <c r="J537" s="3" t="s">
        <v>31</v>
      </c>
      <c r="K537" s="3" t="str">
        <f>"563-659-5321"</f>
        <v>563-659-5321</v>
      </c>
    </row>
    <row r="538" spans="1:11" x14ac:dyDescent="0.35">
      <c r="A538" s="3" t="str">
        <f>"09-0914"</f>
        <v>09-0914</v>
      </c>
      <c r="B538" s="3" t="s">
        <v>854</v>
      </c>
      <c r="C538" s="3" t="s">
        <v>855</v>
      </c>
      <c r="D538" s="3" t="s">
        <v>166</v>
      </c>
      <c r="E538" s="3" t="s">
        <v>167</v>
      </c>
      <c r="F538" s="3" t="s">
        <v>858</v>
      </c>
      <c r="G538" s="3" t="s">
        <v>857</v>
      </c>
      <c r="H538" s="3" t="s">
        <v>856</v>
      </c>
      <c r="I538" s="3" t="s">
        <v>857</v>
      </c>
      <c r="J538" s="3" t="s">
        <v>78</v>
      </c>
      <c r="K538" s="3" t="str">
        <f>"651-291-1750"</f>
        <v>651-291-1750</v>
      </c>
    </row>
    <row r="539" spans="1:11" x14ac:dyDescent="0.35">
      <c r="A539" s="3" t="s">
        <v>1110</v>
      </c>
      <c r="B539" s="3" t="s">
        <v>1110</v>
      </c>
      <c r="C539" s="3" t="s">
        <v>1111</v>
      </c>
      <c r="D539" s="3" t="s">
        <v>57</v>
      </c>
      <c r="E539" s="3" t="s">
        <v>58</v>
      </c>
      <c r="F539" s="3" t="s">
        <v>118</v>
      </c>
      <c r="G539" s="3" t="s">
        <v>119</v>
      </c>
      <c r="H539" s="3" t="s">
        <v>118</v>
      </c>
      <c r="I539" s="3" t="s">
        <v>119</v>
      </c>
      <c r="J539" s="3" t="s">
        <v>31</v>
      </c>
      <c r="K539" s="3" t="str">
        <f>"319-358-9212"</f>
        <v>319-358-9212</v>
      </c>
    </row>
    <row r="540" spans="1:11" x14ac:dyDescent="0.35">
      <c r="A540" s="3" t="s">
        <v>1031</v>
      </c>
      <c r="B540" s="3" t="s">
        <v>1031</v>
      </c>
      <c r="C540" s="3" t="s">
        <v>1032</v>
      </c>
      <c r="D540" s="3" t="s">
        <v>103</v>
      </c>
      <c r="E540" s="3" t="s">
        <v>104</v>
      </c>
      <c r="F540" s="3" t="s">
        <v>1033</v>
      </c>
      <c r="G540" s="3" t="s">
        <v>1034</v>
      </c>
      <c r="H540" s="3" t="s">
        <v>39</v>
      </c>
      <c r="I540" s="3" t="s">
        <v>40</v>
      </c>
      <c r="J540" s="3" t="s">
        <v>44</v>
      </c>
      <c r="K540" s="3" t="str">
        <f>"712-859-3885"</f>
        <v>712-859-3885</v>
      </c>
    </row>
    <row r="541" spans="1:11" x14ac:dyDescent="0.35">
      <c r="A541" s="3" t="str">
        <f>"04-01"</f>
        <v>04-01</v>
      </c>
      <c r="B541" s="3"/>
      <c r="C541" s="3" t="s">
        <v>378</v>
      </c>
      <c r="D541" s="3" t="s">
        <v>18</v>
      </c>
      <c r="E541" s="3" t="s">
        <v>19</v>
      </c>
      <c r="F541" s="3" t="s">
        <v>380</v>
      </c>
      <c r="G541" s="3" t="s">
        <v>381</v>
      </c>
      <c r="H541" s="3" t="s">
        <v>233</v>
      </c>
      <c r="I541" s="3" t="s">
        <v>379</v>
      </c>
      <c r="J541" s="3" t="s">
        <v>31</v>
      </c>
      <c r="K541" s="3" t="str">
        <f>"563-557-7010"</f>
        <v>563-557-7010</v>
      </c>
    </row>
    <row r="542" spans="1:11" x14ac:dyDescent="0.35">
      <c r="A542" s="3" t="str">
        <f>"18-14"</f>
        <v>18-14</v>
      </c>
      <c r="B542" s="3"/>
      <c r="C542" s="3" t="s">
        <v>1446</v>
      </c>
      <c r="D542" s="3" t="s">
        <v>1063</v>
      </c>
      <c r="E542" s="3" t="s">
        <v>160</v>
      </c>
      <c r="F542" s="3" t="s">
        <v>1447</v>
      </c>
      <c r="G542" s="3" t="s">
        <v>695</v>
      </c>
      <c r="H542" s="3" t="s">
        <v>692</v>
      </c>
      <c r="I542" s="3" t="s">
        <v>693</v>
      </c>
      <c r="J542" s="3" t="s">
        <v>16</v>
      </c>
      <c r="K542" s="3" t="str">
        <f>"515-554-9773"</f>
        <v>515-554-9773</v>
      </c>
    </row>
    <row r="543" spans="1:11" x14ac:dyDescent="0.35">
      <c r="A543" s="3" t="str">
        <f>"94-18"</f>
        <v>94-18</v>
      </c>
      <c r="B543" s="3"/>
      <c r="C543" s="3" t="s">
        <v>1715</v>
      </c>
      <c r="D543" s="3" t="s">
        <v>110</v>
      </c>
      <c r="E543" s="3" t="s">
        <v>111</v>
      </c>
      <c r="F543" s="3" t="s">
        <v>1716</v>
      </c>
      <c r="G543" s="3" t="s">
        <v>364</v>
      </c>
      <c r="H543" s="3" t="s">
        <v>361</v>
      </c>
      <c r="I543" s="3" t="s">
        <v>362</v>
      </c>
      <c r="J543" s="3" t="s">
        <v>78</v>
      </c>
      <c r="K543" s="3" t="str">
        <f>"312-285-6335"</f>
        <v>312-285-6335</v>
      </c>
    </row>
    <row r="544" spans="1:11" x14ac:dyDescent="0.35">
      <c r="A544" s="3" t="str">
        <f>"11-11-60"</f>
        <v>11-11-60</v>
      </c>
      <c r="B544" s="3" t="s">
        <v>1098</v>
      </c>
      <c r="C544" s="3" t="s">
        <v>1099</v>
      </c>
      <c r="D544" s="3" t="s">
        <v>1100</v>
      </c>
      <c r="E544" s="3" t="s">
        <v>1101</v>
      </c>
      <c r="F544" s="3" t="s">
        <v>1102</v>
      </c>
      <c r="G544" s="3" t="s">
        <v>1103</v>
      </c>
      <c r="H544" s="3" t="s">
        <v>59</v>
      </c>
      <c r="I544" s="3" t="s">
        <v>60</v>
      </c>
      <c r="J544" s="3" t="s">
        <v>44</v>
      </c>
      <c r="K544" s="3" t="str">
        <f>"515-262-5965"</f>
        <v>515-262-5965</v>
      </c>
    </row>
    <row r="545" spans="1:11" x14ac:dyDescent="0.35">
      <c r="A545" s="3" t="str">
        <f>"91-55"</f>
        <v>91-55</v>
      </c>
      <c r="B545" s="3"/>
      <c r="C545" s="3" t="s">
        <v>1595</v>
      </c>
      <c r="D545" s="3" t="s">
        <v>1596</v>
      </c>
      <c r="E545" s="3" t="s">
        <v>1306</v>
      </c>
      <c r="F545" s="3" t="s">
        <v>1599</v>
      </c>
      <c r="G545" s="3" t="s">
        <v>1600</v>
      </c>
      <c r="H545" s="3" t="s">
        <v>1597</v>
      </c>
      <c r="I545" s="3" t="s">
        <v>1598</v>
      </c>
      <c r="J545" s="3" t="s">
        <v>78</v>
      </c>
      <c r="K545" s="3" t="str">
        <f>"414-395-4456"</f>
        <v>414-395-4456</v>
      </c>
    </row>
    <row r="546" spans="1:11" x14ac:dyDescent="0.35">
      <c r="A546" s="3" t="str">
        <f>"01-08"</f>
        <v>01-08</v>
      </c>
      <c r="B546" s="3" t="s">
        <v>139</v>
      </c>
      <c r="C546" s="3" t="s">
        <v>140</v>
      </c>
      <c r="D546" s="3" t="s">
        <v>141</v>
      </c>
      <c r="E546" s="3" t="s">
        <v>142</v>
      </c>
      <c r="F546" s="3" t="s">
        <v>143</v>
      </c>
      <c r="G546" s="3" t="s">
        <v>42</v>
      </c>
      <c r="H546" s="3" t="s">
        <v>39</v>
      </c>
      <c r="I546" s="3" t="s">
        <v>40</v>
      </c>
      <c r="J546" s="3" t="s">
        <v>44</v>
      </c>
      <c r="K546" s="3" t="str">
        <f>"515-262-5965"</f>
        <v>515-262-5965</v>
      </c>
    </row>
    <row r="547" spans="1:11" x14ac:dyDescent="0.35">
      <c r="A547" s="3" t="str">
        <f>"04-38"</f>
        <v>04-38</v>
      </c>
      <c r="B547" s="3" t="s">
        <v>413</v>
      </c>
      <c r="C547" s="3" t="s">
        <v>414</v>
      </c>
      <c r="D547" s="3" t="s">
        <v>415</v>
      </c>
      <c r="E547" s="3" t="s">
        <v>82</v>
      </c>
      <c r="F547" s="3" t="s">
        <v>416</v>
      </c>
      <c r="G547" s="3" t="s">
        <v>42</v>
      </c>
      <c r="H547" s="3" t="s">
        <v>39</v>
      </c>
      <c r="I547" s="3" t="s">
        <v>40</v>
      </c>
      <c r="J547" s="3" t="s">
        <v>44</v>
      </c>
      <c r="K547" s="3" t="str">
        <f>"515-262-5965"</f>
        <v>515-262-5965</v>
      </c>
    </row>
    <row r="548" spans="1:11" x14ac:dyDescent="0.35">
      <c r="A548" s="3" t="str">
        <f>"97-48"</f>
        <v>97-48</v>
      </c>
      <c r="B548" s="3"/>
      <c r="C548" s="3" t="s">
        <v>1861</v>
      </c>
      <c r="D548" s="3" t="s">
        <v>959</v>
      </c>
      <c r="E548" s="3" t="s">
        <v>160</v>
      </c>
      <c r="F548" s="3" t="s">
        <v>1862</v>
      </c>
      <c r="G548" s="3" t="s">
        <v>90</v>
      </c>
      <c r="H548" s="3" t="s">
        <v>89</v>
      </c>
      <c r="I548" s="3" t="s">
        <v>90</v>
      </c>
      <c r="J548" s="3" t="s">
        <v>78</v>
      </c>
      <c r="K548" s="3" t="str">
        <f>"515-246-8016"</f>
        <v>515-246-8016</v>
      </c>
    </row>
    <row r="549" spans="1:11" x14ac:dyDescent="0.35">
      <c r="A549" s="3" t="str">
        <f>"09-0911"</f>
        <v>09-0911</v>
      </c>
      <c r="B549" s="3" t="s">
        <v>848</v>
      </c>
      <c r="C549" s="3" t="s">
        <v>849</v>
      </c>
      <c r="D549" s="3" t="s">
        <v>649</v>
      </c>
      <c r="E549" s="3" t="s">
        <v>11</v>
      </c>
      <c r="F549" s="3" t="s">
        <v>850</v>
      </c>
      <c r="G549" s="3" t="s">
        <v>203</v>
      </c>
      <c r="H549" s="3" t="s">
        <v>202</v>
      </c>
      <c r="I549" s="3" t="s">
        <v>203</v>
      </c>
      <c r="J549" s="3" t="s">
        <v>31</v>
      </c>
      <c r="K549" s="3" t="str">
        <f>"563-445-7977"</f>
        <v>563-445-7977</v>
      </c>
    </row>
    <row r="550" spans="1:11" x14ac:dyDescent="0.35">
      <c r="A550" s="3" t="str">
        <f>"02-01"</f>
        <v>02-01</v>
      </c>
      <c r="B550" s="3" t="s">
        <v>200</v>
      </c>
      <c r="C550" s="3" t="s">
        <v>201</v>
      </c>
      <c r="D550" s="3" t="s">
        <v>10</v>
      </c>
      <c r="E550" s="3" t="s">
        <v>11</v>
      </c>
      <c r="F550" s="3" t="s">
        <v>204</v>
      </c>
      <c r="G550" s="3" t="s">
        <v>203</v>
      </c>
      <c r="H550" s="3" t="s">
        <v>202</v>
      </c>
      <c r="I550" s="3" t="s">
        <v>203</v>
      </c>
      <c r="J550" s="3" t="s">
        <v>31</v>
      </c>
      <c r="K550" s="3" t="str">
        <f>"563-445-7977"</f>
        <v>563-445-7977</v>
      </c>
    </row>
    <row r="551" spans="1:11" x14ac:dyDescent="0.35">
      <c r="A551" s="3" t="str">
        <f>"04-02"</f>
        <v>04-02</v>
      </c>
      <c r="B551" s="3" t="s">
        <v>382</v>
      </c>
      <c r="C551" s="3" t="s">
        <v>383</v>
      </c>
      <c r="D551" s="3" t="s">
        <v>10</v>
      </c>
      <c r="E551" s="3" t="s">
        <v>11</v>
      </c>
      <c r="F551" s="3" t="s">
        <v>384</v>
      </c>
      <c r="G551" s="3" t="s">
        <v>203</v>
      </c>
      <c r="H551" s="3" t="s">
        <v>202</v>
      </c>
      <c r="I551" s="3" t="s">
        <v>203</v>
      </c>
      <c r="J551" s="3" t="s">
        <v>31</v>
      </c>
      <c r="K551" s="3" t="str">
        <f>"563-445-7977"</f>
        <v>563-445-7977</v>
      </c>
    </row>
    <row r="552" spans="1:11" x14ac:dyDescent="0.35">
      <c r="A552" s="3" t="str">
        <f>"90-28"</f>
        <v>90-28</v>
      </c>
      <c r="B552" s="3"/>
      <c r="C552" s="3" t="s">
        <v>1500</v>
      </c>
      <c r="D552" s="3" t="s">
        <v>1501</v>
      </c>
      <c r="E552" s="3" t="s">
        <v>285</v>
      </c>
      <c r="F552" s="3" t="s">
        <v>1502</v>
      </c>
      <c r="G552" s="3" t="s">
        <v>988</v>
      </c>
      <c r="H552" s="3" t="s">
        <v>105</v>
      </c>
      <c r="I552" s="3" t="s">
        <v>106</v>
      </c>
      <c r="J552" s="3" t="s">
        <v>87</v>
      </c>
      <c r="K552" s="3" t="str">
        <f>"515-223-1113"</f>
        <v>515-223-1113</v>
      </c>
    </row>
    <row r="553" spans="1:11" x14ac:dyDescent="0.35">
      <c r="A553" s="3" t="str">
        <f>"91-24"</f>
        <v>91-24</v>
      </c>
      <c r="B553" s="3"/>
      <c r="C553" s="3" t="s">
        <v>1570</v>
      </c>
      <c r="D553" s="3" t="s">
        <v>1000</v>
      </c>
      <c r="E553" s="3" t="s">
        <v>167</v>
      </c>
      <c r="F553" s="3" t="s">
        <v>1572</v>
      </c>
      <c r="G553" s="3" t="s">
        <v>1573</v>
      </c>
      <c r="H553" s="3" t="s">
        <v>1566</v>
      </c>
      <c r="I553" s="3" t="s">
        <v>1571</v>
      </c>
      <c r="J553" s="3" t="s">
        <v>78</v>
      </c>
      <c r="K553" s="3" t="str">
        <f>"515-244-2622"</f>
        <v>515-244-2622</v>
      </c>
    </row>
    <row r="554" spans="1:11" x14ac:dyDescent="0.35">
      <c r="A554" s="3" t="str">
        <f>"93-41"</f>
        <v>93-41</v>
      </c>
      <c r="B554" s="3"/>
      <c r="C554" s="3" t="s">
        <v>1689</v>
      </c>
      <c r="D554" s="3" t="s">
        <v>1000</v>
      </c>
      <c r="E554" s="3" t="s">
        <v>167</v>
      </c>
      <c r="F554" s="3" t="s">
        <v>1690</v>
      </c>
      <c r="G554" s="3" t="s">
        <v>1573</v>
      </c>
      <c r="H554" s="3" t="s">
        <v>1566</v>
      </c>
      <c r="I554" s="3" t="s">
        <v>1571</v>
      </c>
      <c r="J554" s="3" t="s">
        <v>78</v>
      </c>
      <c r="K554" s="3" t="str">
        <f>"515-244-2622"</f>
        <v>515-244-2622</v>
      </c>
    </row>
    <row r="555" spans="1:11" x14ac:dyDescent="0.35">
      <c r="A555" s="3" t="str">
        <f>"10-10-271"</f>
        <v>10-10-271</v>
      </c>
      <c r="B555" s="3"/>
      <c r="C555" s="3" t="s">
        <v>1013</v>
      </c>
      <c r="D555" s="3" t="s">
        <v>1014</v>
      </c>
      <c r="E555" s="3" t="s">
        <v>198</v>
      </c>
      <c r="F555" s="3" t="s">
        <v>1015</v>
      </c>
      <c r="G555" s="3" t="s">
        <v>108</v>
      </c>
      <c r="H555" s="3" t="s">
        <v>83</v>
      </c>
      <c r="I555" s="3" t="s">
        <v>84</v>
      </c>
      <c r="J555" s="3" t="s">
        <v>87</v>
      </c>
      <c r="K555" s="3" t="str">
        <f>"712-580-5360"</f>
        <v>712-580-5360</v>
      </c>
    </row>
    <row r="556" spans="1:11" x14ac:dyDescent="0.35">
      <c r="A556" s="3" t="str">
        <f>"14-14-34"</f>
        <v>14-14-34</v>
      </c>
      <c r="B556" s="3"/>
      <c r="C556" s="3" t="s">
        <v>1282</v>
      </c>
      <c r="D556" s="3" t="s">
        <v>758</v>
      </c>
      <c r="E556" s="3" t="s">
        <v>270</v>
      </c>
      <c r="F556" s="3" t="s">
        <v>1283</v>
      </c>
      <c r="G556" s="3" t="s">
        <v>15</v>
      </c>
      <c r="H556" s="3" t="s">
        <v>12</v>
      </c>
      <c r="I556" s="3" t="s">
        <v>13</v>
      </c>
      <c r="J556" s="3" t="s">
        <v>16</v>
      </c>
      <c r="K556" s="3" t="str">
        <f>"608-348-7755"</f>
        <v>608-348-7755</v>
      </c>
    </row>
    <row r="557" spans="1:11" x14ac:dyDescent="0.35">
      <c r="A557" s="3" t="str">
        <f>"16-03"</f>
        <v>16-03</v>
      </c>
      <c r="B557" s="3"/>
      <c r="C557" s="3" t="s">
        <v>1370</v>
      </c>
      <c r="D557" s="3" t="s">
        <v>1058</v>
      </c>
      <c r="E557" s="3" t="s">
        <v>160</v>
      </c>
      <c r="F557" s="3" t="s">
        <v>1373</v>
      </c>
      <c r="G557" s="3" t="s">
        <v>1374</v>
      </c>
      <c r="H557" s="3" t="s">
        <v>1371</v>
      </c>
      <c r="I557" s="3" t="s">
        <v>1372</v>
      </c>
      <c r="J557" s="3" t="s">
        <v>78</v>
      </c>
      <c r="K557" s="3" t="str">
        <f>"417-890-3241"</f>
        <v>417-890-3241</v>
      </c>
    </row>
    <row r="558" spans="1:11" x14ac:dyDescent="0.35">
      <c r="A558" s="3" t="str">
        <f>"04-49"</f>
        <v>04-49</v>
      </c>
      <c r="B558" s="3" t="s">
        <v>445</v>
      </c>
      <c r="C558" s="3" t="s">
        <v>446</v>
      </c>
      <c r="D558" s="3" t="s">
        <v>159</v>
      </c>
      <c r="E558" s="3" t="s">
        <v>160</v>
      </c>
      <c r="F558" s="3" t="s">
        <v>449</v>
      </c>
      <c r="G558" s="3" t="s">
        <v>450</v>
      </c>
      <c r="H558" s="3" t="s">
        <v>447</v>
      </c>
      <c r="I558" s="3" t="s">
        <v>448</v>
      </c>
      <c r="J558" s="3" t="s">
        <v>31</v>
      </c>
      <c r="K558" s="3" t="str">
        <f>"612-332-3000"</f>
        <v>612-332-3000</v>
      </c>
    </row>
    <row r="559" spans="1:11" x14ac:dyDescent="0.35">
      <c r="A559" s="3" t="str">
        <f>"97-53"</f>
        <v>97-53</v>
      </c>
      <c r="B559" s="3" t="s">
        <v>1863</v>
      </c>
      <c r="C559" s="3" t="s">
        <v>1864</v>
      </c>
      <c r="D559" s="3" t="s">
        <v>498</v>
      </c>
      <c r="E559" s="3" t="s">
        <v>499</v>
      </c>
      <c r="F559" s="3" t="s">
        <v>1865</v>
      </c>
      <c r="G559" s="3" t="s">
        <v>62</v>
      </c>
      <c r="H559" s="3" t="s">
        <v>59</v>
      </c>
      <c r="I559" s="3" t="s">
        <v>60</v>
      </c>
      <c r="J559" s="3" t="s">
        <v>44</v>
      </c>
      <c r="K559" s="3" t="str">
        <f>"319-338-7600"</f>
        <v>319-338-7600</v>
      </c>
    </row>
    <row r="560" spans="1:11" x14ac:dyDescent="0.35">
      <c r="A560" s="3" t="str">
        <f>"08-35"</f>
        <v>08-35</v>
      </c>
      <c r="B560" s="3"/>
      <c r="C560" s="3" t="s">
        <v>828</v>
      </c>
      <c r="D560" s="3" t="s">
        <v>136</v>
      </c>
      <c r="E560" s="3" t="s">
        <v>137</v>
      </c>
      <c r="F560" s="3" t="s">
        <v>830</v>
      </c>
      <c r="G560" s="3" t="s">
        <v>720</v>
      </c>
      <c r="H560" s="3" t="s">
        <v>717</v>
      </c>
      <c r="I560" s="3" t="s">
        <v>829</v>
      </c>
      <c r="J560" s="3" t="s">
        <v>31</v>
      </c>
      <c r="K560" s="3" t="str">
        <f>"763-354-5613"</f>
        <v>763-354-5613</v>
      </c>
    </row>
    <row r="561" spans="1:11" x14ac:dyDescent="0.35">
      <c r="A561" s="3" t="str">
        <f>"04-33"</f>
        <v>04-33</v>
      </c>
      <c r="B561" s="3"/>
      <c r="C561" s="3" t="s">
        <v>411</v>
      </c>
      <c r="D561" s="3" t="s">
        <v>159</v>
      </c>
      <c r="E561" s="3" t="s">
        <v>160</v>
      </c>
      <c r="F561" s="3" t="s">
        <v>412</v>
      </c>
      <c r="G561" s="3" t="s">
        <v>62</v>
      </c>
      <c r="H561" s="3" t="s">
        <v>59</v>
      </c>
      <c r="I561" s="3" t="s">
        <v>60</v>
      </c>
      <c r="J561" s="3" t="s">
        <v>44</v>
      </c>
      <c r="K561" s="3" t="str">
        <f>"319-338-7600"</f>
        <v>319-338-7600</v>
      </c>
    </row>
    <row r="562" spans="1:11" x14ac:dyDescent="0.35">
      <c r="A562" s="3" t="str">
        <f>"10-10-234"</f>
        <v>10-10-234</v>
      </c>
      <c r="B562" s="3" t="s">
        <v>952</v>
      </c>
      <c r="C562" s="3" t="s">
        <v>953</v>
      </c>
      <c r="D562" s="3" t="s">
        <v>954</v>
      </c>
      <c r="E562" s="3" t="s">
        <v>600</v>
      </c>
      <c r="F562" s="3" t="s">
        <v>957</v>
      </c>
      <c r="G562" s="3" t="s">
        <v>956</v>
      </c>
      <c r="H562" s="3" t="s">
        <v>955</v>
      </c>
      <c r="I562" s="3" t="s">
        <v>956</v>
      </c>
      <c r="J562" s="3" t="s">
        <v>78</v>
      </c>
      <c r="K562" s="3" t="str">
        <f>"712-592-1844"</f>
        <v>712-592-1844</v>
      </c>
    </row>
    <row r="563" spans="1:11" x14ac:dyDescent="0.35">
      <c r="A563" s="3" t="str">
        <f>"12-12-23"</f>
        <v>12-12-23</v>
      </c>
      <c r="B563" s="3"/>
      <c r="C563" s="3" t="s">
        <v>1128</v>
      </c>
      <c r="D563" s="3" t="s">
        <v>1129</v>
      </c>
      <c r="E563" s="3" t="s">
        <v>1130</v>
      </c>
      <c r="F563" s="3" t="s">
        <v>1131</v>
      </c>
      <c r="G563" s="3" t="s">
        <v>1077</v>
      </c>
      <c r="H563" s="3" t="s">
        <v>1074</v>
      </c>
      <c r="I563" s="3" t="s">
        <v>1075</v>
      </c>
      <c r="J563" s="3" t="s">
        <v>16</v>
      </c>
      <c r="K563" s="3" t="str">
        <f>"216-520-1250"</f>
        <v>216-520-1250</v>
      </c>
    </row>
    <row r="564" spans="1:11" x14ac:dyDescent="0.35">
      <c r="A564" s="3" t="str">
        <f>"91-49"</f>
        <v>91-49</v>
      </c>
      <c r="B564" s="3"/>
      <c r="C564" s="3" t="s">
        <v>1590</v>
      </c>
      <c r="D564" s="3" t="s">
        <v>1591</v>
      </c>
      <c r="E564" s="3" t="s">
        <v>1497</v>
      </c>
      <c r="F564" s="3" t="s">
        <v>1592</v>
      </c>
      <c r="G564" s="3" t="s">
        <v>1499</v>
      </c>
      <c r="H564" s="3" t="s">
        <v>1465</v>
      </c>
      <c r="I564" s="3" t="s">
        <v>1466</v>
      </c>
      <c r="J564" s="3" t="s">
        <v>87</v>
      </c>
      <c r="K564" s="3" t="str">
        <f>"515-288-2500"</f>
        <v>515-288-2500</v>
      </c>
    </row>
    <row r="565" spans="1:11" x14ac:dyDescent="0.35">
      <c r="A565" s="3" t="str">
        <f>"17-16"</f>
        <v>17-16</v>
      </c>
      <c r="B565" s="3"/>
      <c r="C565" s="3" t="s">
        <v>1416</v>
      </c>
      <c r="D565" s="3" t="s">
        <v>346</v>
      </c>
      <c r="E565" s="3" t="s">
        <v>347</v>
      </c>
      <c r="F565" s="3" t="s">
        <v>1417</v>
      </c>
      <c r="G565" s="3" t="s">
        <v>162</v>
      </c>
      <c r="H565" s="3" t="s">
        <v>286</v>
      </c>
      <c r="I565" s="3" t="s">
        <v>1294</v>
      </c>
      <c r="J565" s="3" t="s">
        <v>16</v>
      </c>
      <c r="K565" s="3" t="str">
        <f>"515-244-8308"</f>
        <v>515-244-8308</v>
      </c>
    </row>
    <row r="566" spans="1:11" x14ac:dyDescent="0.35">
      <c r="A566" s="3" t="s">
        <v>1353</v>
      </c>
      <c r="B566" s="3" t="s">
        <v>1353</v>
      </c>
      <c r="C566" s="3" t="s">
        <v>1354</v>
      </c>
      <c r="D566" s="3" t="s">
        <v>159</v>
      </c>
      <c r="E566" s="3" t="s">
        <v>160</v>
      </c>
      <c r="F566" s="3" t="s">
        <v>1181</v>
      </c>
      <c r="G566" s="3" t="s">
        <v>1182</v>
      </c>
      <c r="H566" s="3" t="s">
        <v>1179</v>
      </c>
      <c r="I566" s="3" t="s">
        <v>1180</v>
      </c>
      <c r="J566" s="3" t="s">
        <v>16</v>
      </c>
      <c r="K566" s="3" t="str">
        <f>"515-664-6268"</f>
        <v>515-664-6268</v>
      </c>
    </row>
    <row r="567" spans="1:11" x14ac:dyDescent="0.35">
      <c r="A567" s="3" t="str">
        <f>"05-32"</f>
        <v>05-32</v>
      </c>
      <c r="B567" s="3" t="s">
        <v>513</v>
      </c>
      <c r="C567" s="3" t="s">
        <v>514</v>
      </c>
      <c r="D567" s="3" t="s">
        <v>18</v>
      </c>
      <c r="E567" s="3" t="s">
        <v>19</v>
      </c>
      <c r="F567" s="3" t="s">
        <v>515</v>
      </c>
      <c r="G567" s="3" t="s">
        <v>381</v>
      </c>
      <c r="H567" s="3" t="s">
        <v>233</v>
      </c>
      <c r="I567" s="3" t="s">
        <v>234</v>
      </c>
      <c r="J567" s="3" t="s">
        <v>31</v>
      </c>
      <c r="K567" s="3" t="str">
        <f>"563-557-7010"</f>
        <v>563-557-7010</v>
      </c>
    </row>
    <row r="568" spans="1:11" x14ac:dyDescent="0.35">
      <c r="A568" s="3" t="str">
        <f>"97-56"</f>
        <v>97-56</v>
      </c>
      <c r="B568" s="3" t="s">
        <v>1866</v>
      </c>
      <c r="C568" s="3" t="s">
        <v>1867</v>
      </c>
      <c r="D568" s="3" t="s">
        <v>128</v>
      </c>
      <c r="E568" s="3" t="s">
        <v>129</v>
      </c>
      <c r="F568" s="3" t="s">
        <v>1868</v>
      </c>
      <c r="G568" s="3" t="s">
        <v>548</v>
      </c>
      <c r="H568" s="3" t="s">
        <v>130</v>
      </c>
      <c r="I568" s="3" t="s">
        <v>131</v>
      </c>
      <c r="J568" s="3" t="s">
        <v>31</v>
      </c>
      <c r="K568" s="3" t="str">
        <f>"563-382-8436"</f>
        <v>563-382-8436</v>
      </c>
    </row>
    <row r="569" spans="1:11" x14ac:dyDescent="0.35">
      <c r="A569" s="3" t="str">
        <f>"18-33"</f>
        <v>18-33</v>
      </c>
      <c r="B569" s="3"/>
      <c r="C569" s="3" t="s">
        <v>1456</v>
      </c>
      <c r="D569" s="3" t="s">
        <v>141</v>
      </c>
      <c r="E569" s="3" t="s">
        <v>142</v>
      </c>
      <c r="F569" s="3" t="s">
        <v>1457</v>
      </c>
      <c r="G569" s="3" t="s">
        <v>15</v>
      </c>
      <c r="H569" s="3" t="s">
        <v>12</v>
      </c>
      <c r="I569" s="3" t="s">
        <v>13</v>
      </c>
      <c r="J569" s="3" t="s">
        <v>16</v>
      </c>
      <c r="K569" s="3" t="str">
        <f>"608-348-7755"</f>
        <v>608-348-7755</v>
      </c>
    </row>
    <row r="570" spans="1:11" x14ac:dyDescent="0.35">
      <c r="A570" s="3" t="str">
        <f>"10-10-240"</f>
        <v>10-10-240</v>
      </c>
      <c r="B570" s="3"/>
      <c r="C570" s="3" t="s">
        <v>968</v>
      </c>
      <c r="D570" s="3" t="s">
        <v>81</v>
      </c>
      <c r="E570" s="3" t="s">
        <v>82</v>
      </c>
      <c r="F570" s="3" t="s">
        <v>969</v>
      </c>
      <c r="G570" s="3" t="s">
        <v>15</v>
      </c>
      <c r="H570" s="3" t="s">
        <v>12</v>
      </c>
      <c r="I570" s="3" t="s">
        <v>13</v>
      </c>
      <c r="J570" s="3" t="s">
        <v>16</v>
      </c>
      <c r="K570" s="3" t="str">
        <f>"608-348-7755"</f>
        <v>608-348-7755</v>
      </c>
    </row>
    <row r="571" spans="1:11" x14ac:dyDescent="0.35">
      <c r="A571" s="3" t="str">
        <f>"17-05"</f>
        <v>17-05</v>
      </c>
      <c r="B571" s="3"/>
      <c r="C571" s="3" t="s">
        <v>1404</v>
      </c>
      <c r="D571" s="3" t="s">
        <v>630</v>
      </c>
      <c r="E571" s="3" t="s">
        <v>631</v>
      </c>
      <c r="F571" s="3" t="s">
        <v>1406</v>
      </c>
      <c r="G571" s="3" t="s">
        <v>1407</v>
      </c>
      <c r="H571" s="3" t="s">
        <v>1405</v>
      </c>
      <c r="I571" s="3" t="s">
        <v>1140</v>
      </c>
      <c r="J571" s="3" t="s">
        <v>78</v>
      </c>
      <c r="K571" s="3" t="str">
        <f>"913-671-3300"</f>
        <v>913-671-3300</v>
      </c>
    </row>
    <row r="572" spans="1:11" x14ac:dyDescent="0.35">
      <c r="A572" s="3" t="str">
        <f>"97-06"</f>
        <v>97-06</v>
      </c>
      <c r="B572" s="3" t="s">
        <v>1828</v>
      </c>
      <c r="C572" s="3" t="s">
        <v>1829</v>
      </c>
      <c r="D572" s="3" t="s">
        <v>166</v>
      </c>
      <c r="E572" s="3" t="s">
        <v>167</v>
      </c>
      <c r="F572" s="3" t="s">
        <v>1830</v>
      </c>
      <c r="G572" s="3" t="s">
        <v>255</v>
      </c>
      <c r="H572" s="3" t="s">
        <v>254</v>
      </c>
      <c r="I572" s="3" t="s">
        <v>255</v>
      </c>
      <c r="J572" s="3" t="s">
        <v>16</v>
      </c>
      <c r="K572" s="3" t="str">
        <f>"319-287-3845"</f>
        <v>319-287-3845</v>
      </c>
    </row>
    <row r="573" spans="1:11" x14ac:dyDescent="0.35">
      <c r="A573" s="3" t="str">
        <f>"05-17"</f>
        <v>05-17</v>
      </c>
      <c r="B573" s="3"/>
      <c r="C573" s="3" t="s">
        <v>487</v>
      </c>
      <c r="D573" s="3" t="s">
        <v>399</v>
      </c>
      <c r="E573" s="3" t="s">
        <v>400</v>
      </c>
      <c r="F573" s="3" t="s">
        <v>488</v>
      </c>
      <c r="G573" s="3" t="s">
        <v>34</v>
      </c>
      <c r="H573" s="3" t="s">
        <v>12</v>
      </c>
      <c r="I573" s="3" t="s">
        <v>13</v>
      </c>
      <c r="J573" s="3" t="s">
        <v>16</v>
      </c>
      <c r="K573" s="3" t="str">
        <f>"800-333-3509"</f>
        <v>800-333-3509</v>
      </c>
    </row>
    <row r="574" spans="1:11" x14ac:dyDescent="0.35">
      <c r="A574" s="3" t="s">
        <v>1175</v>
      </c>
      <c r="B574" s="3" t="s">
        <v>1175</v>
      </c>
      <c r="C574" s="3" t="s">
        <v>1176</v>
      </c>
      <c r="D574" s="3" t="s">
        <v>110</v>
      </c>
      <c r="E574" s="3" t="s">
        <v>111</v>
      </c>
      <c r="F574" s="3" t="s">
        <v>259</v>
      </c>
      <c r="G574" s="3" t="s">
        <v>262</v>
      </c>
      <c r="H574" s="3" t="s">
        <v>259</v>
      </c>
      <c r="I574" s="3" t="s">
        <v>260</v>
      </c>
      <c r="J574" s="3" t="s">
        <v>16</v>
      </c>
      <c r="K574" s="3" t="str">
        <f>"319-784-2030"</f>
        <v>319-784-2030</v>
      </c>
    </row>
    <row r="575" spans="1:11" x14ac:dyDescent="0.35">
      <c r="A575" s="3" t="str">
        <f>"98-73"</f>
        <v>98-73</v>
      </c>
      <c r="B575" s="3" t="s">
        <v>1969</v>
      </c>
      <c r="C575" s="3" t="s">
        <v>1970</v>
      </c>
      <c r="D575" s="3" t="s">
        <v>1290</v>
      </c>
      <c r="E575" s="3" t="s">
        <v>1291</v>
      </c>
      <c r="F575" s="3" t="s">
        <v>1971</v>
      </c>
      <c r="G575" s="3" t="s">
        <v>77</v>
      </c>
      <c r="H575" s="3" t="s">
        <v>74</v>
      </c>
      <c r="I575" s="3" t="s">
        <v>75</v>
      </c>
      <c r="J575" s="3" t="s">
        <v>78</v>
      </c>
      <c r="K575" s="3" t="str">
        <f>"402-488-1666"</f>
        <v>402-488-1666</v>
      </c>
    </row>
    <row r="576" spans="1:11" x14ac:dyDescent="0.35">
      <c r="A576" s="3" t="str">
        <f>"12-12-8"</f>
        <v>12-12-8</v>
      </c>
      <c r="B576" s="3" t="s">
        <v>1169</v>
      </c>
      <c r="C576" s="3" t="s">
        <v>1170</v>
      </c>
      <c r="D576" s="3" t="s">
        <v>141</v>
      </c>
      <c r="E576" s="3" t="s">
        <v>142</v>
      </c>
      <c r="F576" s="3" t="s">
        <v>1171</v>
      </c>
      <c r="G576" s="3" t="s">
        <v>42</v>
      </c>
      <c r="H576" s="3" t="s">
        <v>39</v>
      </c>
      <c r="I576" s="3" t="s">
        <v>40</v>
      </c>
      <c r="J576" s="3" t="s">
        <v>44</v>
      </c>
      <c r="K576" s="3" t="str">
        <f>"515-262-5965"</f>
        <v>515-262-5965</v>
      </c>
    </row>
    <row r="577" spans="1:11" x14ac:dyDescent="0.35">
      <c r="A577" s="3" t="str">
        <f>"95-10"</f>
        <v>95-10</v>
      </c>
      <c r="B577" s="3" t="s">
        <v>1741</v>
      </c>
      <c r="C577" s="3" t="s">
        <v>1742</v>
      </c>
      <c r="D577" s="3" t="s">
        <v>25</v>
      </c>
      <c r="E577" s="3" t="s">
        <v>26</v>
      </c>
      <c r="F577" s="3" t="s">
        <v>1437</v>
      </c>
      <c r="G577" s="3" t="s">
        <v>1438</v>
      </c>
      <c r="H577" s="3" t="s">
        <v>717</v>
      </c>
      <c r="I577" s="3" t="s">
        <v>1743</v>
      </c>
      <c r="J577" s="3" t="s">
        <v>31</v>
      </c>
      <c r="K577" s="3" t="str">
        <f>"763-354-5634"</f>
        <v>763-354-5634</v>
      </c>
    </row>
    <row r="578" spans="1:11" x14ac:dyDescent="0.35">
      <c r="A578" s="3" t="str">
        <f>"97-33"</f>
        <v>97-33</v>
      </c>
      <c r="B578" s="3" t="s">
        <v>1845</v>
      </c>
      <c r="C578" s="3" t="s">
        <v>1846</v>
      </c>
      <c r="D578" s="3" t="s">
        <v>25</v>
      </c>
      <c r="E578" s="3" t="s">
        <v>26</v>
      </c>
      <c r="F578" s="3" t="s">
        <v>1437</v>
      </c>
      <c r="G578" s="3" t="s">
        <v>1438</v>
      </c>
      <c r="H578" s="3" t="s">
        <v>717</v>
      </c>
      <c r="I578" s="3" t="s">
        <v>1743</v>
      </c>
      <c r="J578" s="3" t="s">
        <v>31</v>
      </c>
      <c r="K578" s="3" t="str">
        <f>"763-354-5634"</f>
        <v>763-354-5634</v>
      </c>
    </row>
    <row r="579" spans="1:11" x14ac:dyDescent="0.35">
      <c r="A579" s="3" t="str">
        <f>"03-25"</f>
        <v>03-25</v>
      </c>
      <c r="B579" s="3" t="s">
        <v>336</v>
      </c>
      <c r="C579" s="3" t="s">
        <v>337</v>
      </c>
      <c r="D579" s="3" t="s">
        <v>149</v>
      </c>
      <c r="E579" s="3" t="s">
        <v>150</v>
      </c>
      <c r="F579" s="3" t="s">
        <v>338</v>
      </c>
      <c r="G579" s="3" t="s">
        <v>339</v>
      </c>
      <c r="H579" s="3" t="s">
        <v>338</v>
      </c>
      <c r="I579" s="3" t="s">
        <v>339</v>
      </c>
      <c r="J579" s="3" t="s">
        <v>87</v>
      </c>
      <c r="K579" s="3" t="str">
        <f>"641-753-9191"</f>
        <v>641-753-9191</v>
      </c>
    </row>
    <row r="580" spans="1:11" x14ac:dyDescent="0.35">
      <c r="A580" s="3" t="str">
        <f>"09-0933"</f>
        <v>09-0933</v>
      </c>
      <c r="B580" s="3"/>
      <c r="C580" s="3" t="s">
        <v>882</v>
      </c>
      <c r="D580" s="3" t="s">
        <v>70</v>
      </c>
      <c r="E580" s="3" t="s">
        <v>71</v>
      </c>
      <c r="F580" s="3" t="s">
        <v>883</v>
      </c>
      <c r="G580" s="3" t="s">
        <v>15</v>
      </c>
      <c r="H580" s="3" t="s">
        <v>12</v>
      </c>
      <c r="I580" s="3" t="s">
        <v>13</v>
      </c>
      <c r="J580" s="3" t="s">
        <v>16</v>
      </c>
      <c r="K580" s="3" t="str">
        <f>"608-348-7755"</f>
        <v>608-348-7755</v>
      </c>
    </row>
    <row r="581" spans="1:11" x14ac:dyDescent="0.35">
      <c r="A581" s="3" t="str">
        <f>"92-24"</f>
        <v>92-24</v>
      </c>
      <c r="B581" s="3"/>
      <c r="C581" s="3" t="s">
        <v>1620</v>
      </c>
      <c r="D581" s="3" t="s">
        <v>1129</v>
      </c>
      <c r="E581" s="3" t="s">
        <v>1130</v>
      </c>
      <c r="F581" s="3" t="s">
        <v>1621</v>
      </c>
      <c r="G581" s="3" t="s">
        <v>84</v>
      </c>
      <c r="H581" s="3" t="s">
        <v>83</v>
      </c>
      <c r="I581" s="3" t="s">
        <v>108</v>
      </c>
      <c r="J581" s="3" t="s">
        <v>87</v>
      </c>
      <c r="K581" s="3" t="str">
        <f>"515-313-7306"</f>
        <v>515-313-7306</v>
      </c>
    </row>
    <row r="582" spans="1:11" x14ac:dyDescent="0.35">
      <c r="A582" s="3" t="str">
        <f>"93-09"</f>
        <v>93-09</v>
      </c>
      <c r="B582" s="3"/>
      <c r="C582" s="3" t="s">
        <v>1650</v>
      </c>
      <c r="D582" s="3" t="s">
        <v>1651</v>
      </c>
      <c r="E582" s="3" t="s">
        <v>1300</v>
      </c>
      <c r="F582" s="3" t="s">
        <v>1654</v>
      </c>
      <c r="G582" s="3" t="s">
        <v>1655</v>
      </c>
      <c r="H582" s="3" t="s">
        <v>1652</v>
      </c>
      <c r="I582" s="3" t="s">
        <v>1653</v>
      </c>
      <c r="J582" s="3" t="s">
        <v>87</v>
      </c>
      <c r="K582" s="3" t="str">
        <f>"612-309-8912"</f>
        <v>612-309-8912</v>
      </c>
    </row>
    <row r="583" spans="1:11" x14ac:dyDescent="0.35">
      <c r="A583" s="3" t="str">
        <f>"93-34"</f>
        <v>93-34</v>
      </c>
      <c r="B583" s="3"/>
      <c r="C583" s="3" t="s">
        <v>1682</v>
      </c>
      <c r="D583" s="3" t="s">
        <v>1683</v>
      </c>
      <c r="E583" s="3" t="s">
        <v>1684</v>
      </c>
      <c r="F583" s="3" t="s">
        <v>1685</v>
      </c>
      <c r="G583" s="3" t="s">
        <v>62</v>
      </c>
      <c r="H583" s="3" t="s">
        <v>59</v>
      </c>
      <c r="I583" s="3" t="s">
        <v>60</v>
      </c>
      <c r="J583" s="3" t="s">
        <v>44</v>
      </c>
      <c r="K583" s="3" t="str">
        <f>"319-338-7600"</f>
        <v>319-338-7600</v>
      </c>
    </row>
    <row r="584" spans="1:11" x14ac:dyDescent="0.35">
      <c r="A584" s="3" t="str">
        <f>"08-0902"</f>
        <v>08-0902</v>
      </c>
      <c r="B584" s="3"/>
      <c r="C584" s="3" t="s">
        <v>783</v>
      </c>
      <c r="D584" s="3" t="s">
        <v>188</v>
      </c>
      <c r="E584" s="3" t="s">
        <v>82</v>
      </c>
      <c r="F584" s="3" t="s">
        <v>784</v>
      </c>
      <c r="G584" s="3" t="s">
        <v>712</v>
      </c>
      <c r="H584" s="3" t="s">
        <v>709</v>
      </c>
      <c r="I584" s="3" t="s">
        <v>710</v>
      </c>
      <c r="J584" s="3" t="s">
        <v>16</v>
      </c>
      <c r="K584" s="3" t="str">
        <f>"317-587-0320"</f>
        <v>317-587-0320</v>
      </c>
    </row>
    <row r="585" spans="1:11" x14ac:dyDescent="0.35">
      <c r="A585" s="3" t="str">
        <f>"05-18"</f>
        <v>05-18</v>
      </c>
      <c r="B585" s="3" t="s">
        <v>489</v>
      </c>
      <c r="C585" s="3" t="s">
        <v>490</v>
      </c>
      <c r="D585" s="3" t="s">
        <v>57</v>
      </c>
      <c r="E585" s="3" t="s">
        <v>58</v>
      </c>
      <c r="F585" s="3" t="s">
        <v>491</v>
      </c>
      <c r="G585" s="3" t="s">
        <v>119</v>
      </c>
      <c r="H585" s="3" t="s">
        <v>118</v>
      </c>
      <c r="I585" s="3" t="s">
        <v>119</v>
      </c>
      <c r="J585" s="3" t="s">
        <v>31</v>
      </c>
      <c r="K585" s="3" t="str">
        <f>"319-358-9212"</f>
        <v>319-358-9212</v>
      </c>
    </row>
    <row r="586" spans="1:11" x14ac:dyDescent="0.35">
      <c r="A586" s="3" t="str">
        <f>"92-13"</f>
        <v>92-13</v>
      </c>
      <c r="B586" s="3"/>
      <c r="C586" s="3" t="s">
        <v>1613</v>
      </c>
      <c r="D586" s="3" t="s">
        <v>1614</v>
      </c>
      <c r="E586" s="3" t="s">
        <v>1615</v>
      </c>
      <c r="F586" s="3" t="s">
        <v>1616</v>
      </c>
      <c r="G586" s="3" t="s">
        <v>1479</v>
      </c>
      <c r="H586" s="3" t="s">
        <v>1476</v>
      </c>
      <c r="I586" s="3" t="s">
        <v>1477</v>
      </c>
      <c r="J586" s="3" t="s">
        <v>78</v>
      </c>
      <c r="K586" s="3" t="str">
        <f>"563-864-7414"</f>
        <v>563-864-7414</v>
      </c>
    </row>
    <row r="587" spans="1:11" x14ac:dyDescent="0.35">
      <c r="A587" s="3" t="str">
        <f>"99-31"</f>
        <v>99-31</v>
      </c>
      <c r="B587" s="3" t="s">
        <v>2016</v>
      </c>
      <c r="C587" s="3" t="s">
        <v>2017</v>
      </c>
      <c r="D587" s="3" t="s">
        <v>483</v>
      </c>
      <c r="E587" s="3" t="s">
        <v>376</v>
      </c>
      <c r="F587" s="3" t="s">
        <v>2018</v>
      </c>
      <c r="G587" s="3" t="s">
        <v>62</v>
      </c>
      <c r="H587" s="3" t="s">
        <v>59</v>
      </c>
      <c r="I587" s="3" t="s">
        <v>60</v>
      </c>
      <c r="J587" s="3" t="s">
        <v>44</v>
      </c>
      <c r="K587" s="3" t="str">
        <f>"319-338-7600"</f>
        <v>319-338-7600</v>
      </c>
    </row>
    <row r="588" spans="1:11" x14ac:dyDescent="0.35">
      <c r="A588" s="3" t="str">
        <f>"02-23"</f>
        <v>02-23</v>
      </c>
      <c r="B588" s="3" t="s">
        <v>257</v>
      </c>
      <c r="C588" s="3" t="s">
        <v>258</v>
      </c>
      <c r="D588" s="3" t="s">
        <v>110</v>
      </c>
      <c r="E588" s="3" t="s">
        <v>111</v>
      </c>
      <c r="F588" s="3" t="s">
        <v>261</v>
      </c>
      <c r="G588" s="3" t="s">
        <v>262</v>
      </c>
      <c r="H588" s="3" t="s">
        <v>259</v>
      </c>
      <c r="I588" s="3" t="s">
        <v>260</v>
      </c>
      <c r="J588" s="3" t="s">
        <v>16</v>
      </c>
      <c r="K588" s="3" t="str">
        <f>"319-784-2030"</f>
        <v>319-784-2030</v>
      </c>
    </row>
    <row r="589" spans="1:11" x14ac:dyDescent="0.35">
      <c r="A589" s="3" t="str">
        <f>"15-15-18"</f>
        <v>15-15-18</v>
      </c>
      <c r="B589" s="3"/>
      <c r="C589" s="3" t="s">
        <v>1327</v>
      </c>
      <c r="D589" s="3" t="s">
        <v>1325</v>
      </c>
      <c r="E589" s="3" t="s">
        <v>82</v>
      </c>
      <c r="F589" s="3" t="s">
        <v>1328</v>
      </c>
      <c r="G589" s="3" t="s">
        <v>1329</v>
      </c>
      <c r="H589" s="3" t="s">
        <v>704</v>
      </c>
      <c r="I589" s="3" t="s">
        <v>705</v>
      </c>
      <c r="J589" s="3" t="s">
        <v>31</v>
      </c>
      <c r="K589" s="3" t="str">
        <f>"262-842-0542"</f>
        <v>262-842-0542</v>
      </c>
    </row>
    <row r="590" spans="1:11" x14ac:dyDescent="0.35">
      <c r="A590" s="3" t="str">
        <f>"08-0910"</f>
        <v>08-0910</v>
      </c>
      <c r="B590" s="3"/>
      <c r="C590" s="3" t="s">
        <v>796</v>
      </c>
      <c r="D590" s="3" t="s">
        <v>159</v>
      </c>
      <c r="E590" s="3" t="s">
        <v>160</v>
      </c>
      <c r="F590" s="3" t="s">
        <v>797</v>
      </c>
      <c r="G590" s="3" t="s">
        <v>90</v>
      </c>
      <c r="H590" s="3" t="s">
        <v>89</v>
      </c>
      <c r="I590" s="3" t="s">
        <v>90</v>
      </c>
      <c r="J590" s="3" t="s">
        <v>78</v>
      </c>
      <c r="K590" s="3" t="str">
        <f>"515-246-8016"</f>
        <v>515-246-8016</v>
      </c>
    </row>
    <row r="591" spans="1:11" x14ac:dyDescent="0.35">
      <c r="A591" s="3" t="str">
        <f>"08-03"</f>
        <v>08-03</v>
      </c>
      <c r="B591" s="3"/>
      <c r="C591" s="3" t="s">
        <v>764</v>
      </c>
      <c r="D591" s="3" t="s">
        <v>159</v>
      </c>
      <c r="E591" s="3" t="s">
        <v>160</v>
      </c>
      <c r="F591" s="3" t="s">
        <v>765</v>
      </c>
      <c r="G591" s="3" t="s">
        <v>90</v>
      </c>
      <c r="H591" s="3" t="s">
        <v>89</v>
      </c>
      <c r="I591" s="3" t="s">
        <v>90</v>
      </c>
      <c r="J591" s="3" t="s">
        <v>78</v>
      </c>
      <c r="K591" s="3" t="str">
        <f>"515-246-8016"</f>
        <v>515-246-8016</v>
      </c>
    </row>
    <row r="592" spans="1:11" x14ac:dyDescent="0.35">
      <c r="A592" s="3" t="s">
        <v>1050</v>
      </c>
      <c r="B592" s="3" t="s">
        <v>1050</v>
      </c>
      <c r="C592" s="3" t="s">
        <v>1051</v>
      </c>
      <c r="D592" s="3" t="s">
        <v>1052</v>
      </c>
      <c r="E592" s="3" t="s">
        <v>1053</v>
      </c>
      <c r="F592" s="3" t="s">
        <v>1054</v>
      </c>
      <c r="G592" s="3" t="s">
        <v>1056</v>
      </c>
      <c r="H592" s="3" t="s">
        <v>1054</v>
      </c>
      <c r="I592" s="3" t="s">
        <v>1055</v>
      </c>
      <c r="J592" s="3" t="s">
        <v>31</v>
      </c>
      <c r="K592" s="3" t="str">
        <f>"712-446-2599"</f>
        <v>712-446-2599</v>
      </c>
    </row>
    <row r="593" spans="1:11" x14ac:dyDescent="0.35">
      <c r="A593" s="3" t="str">
        <f>"93-24"</f>
        <v>93-24</v>
      </c>
      <c r="B593" s="3"/>
      <c r="C593" s="3" t="s">
        <v>1664</v>
      </c>
      <c r="D593" s="3" t="s">
        <v>1665</v>
      </c>
      <c r="E593" s="3" t="s">
        <v>1666</v>
      </c>
      <c r="F593" s="3" t="s">
        <v>1667</v>
      </c>
      <c r="G593" s="3" t="s">
        <v>108</v>
      </c>
      <c r="H593" s="3" t="s">
        <v>105</v>
      </c>
      <c r="I593" s="3" t="s">
        <v>106</v>
      </c>
      <c r="J593" s="3" t="s">
        <v>87</v>
      </c>
      <c r="K593" s="3" t="str">
        <f>"712-240-2188"</f>
        <v>712-240-2188</v>
      </c>
    </row>
    <row r="594" spans="1:11" x14ac:dyDescent="0.35">
      <c r="A594" s="3" t="str">
        <f>"00-35"</f>
        <v>00-35</v>
      </c>
      <c r="B594" s="3"/>
      <c r="C594" s="3" t="s">
        <v>88</v>
      </c>
      <c r="D594" s="3" t="s">
        <v>81</v>
      </c>
      <c r="E594" s="3" t="s">
        <v>82</v>
      </c>
      <c r="F594" s="3" t="s">
        <v>91</v>
      </c>
      <c r="G594" s="3" t="s">
        <v>90</v>
      </c>
      <c r="H594" s="3" t="s">
        <v>89</v>
      </c>
      <c r="I594" s="3" t="s">
        <v>90</v>
      </c>
      <c r="J594" s="3" t="s">
        <v>78</v>
      </c>
      <c r="K594" s="3" t="str">
        <f>"515-246-8016"</f>
        <v>515-246-8016</v>
      </c>
    </row>
    <row r="595" spans="1:11" x14ac:dyDescent="0.35">
      <c r="A595" s="3" t="str">
        <f>"02-03"</f>
        <v>02-03</v>
      </c>
      <c r="B595" s="3"/>
      <c r="C595" s="3" t="s">
        <v>207</v>
      </c>
      <c r="D595" s="3" t="s">
        <v>81</v>
      </c>
      <c r="E595" s="3" t="s">
        <v>82</v>
      </c>
      <c r="F595" s="3" t="s">
        <v>208</v>
      </c>
      <c r="G595" s="3" t="s">
        <v>90</v>
      </c>
      <c r="H595" s="3" t="s">
        <v>89</v>
      </c>
      <c r="I595" s="3" t="s">
        <v>90</v>
      </c>
      <c r="J595" s="3" t="s">
        <v>78</v>
      </c>
      <c r="K595" s="3" t="str">
        <f>"515-246-8016"</f>
        <v>515-246-8016</v>
      </c>
    </row>
    <row r="596" spans="1:11" x14ac:dyDescent="0.35">
      <c r="A596" s="3" t="str">
        <f>"05-04"</f>
        <v>05-04</v>
      </c>
      <c r="B596" s="3"/>
      <c r="C596" s="3" t="s">
        <v>473</v>
      </c>
      <c r="D596" s="3" t="s">
        <v>81</v>
      </c>
      <c r="E596" s="3" t="s">
        <v>82</v>
      </c>
      <c r="F596" s="3" t="s">
        <v>474</v>
      </c>
      <c r="G596" s="3" t="s">
        <v>90</v>
      </c>
      <c r="H596" s="3" t="s">
        <v>89</v>
      </c>
      <c r="I596" s="3" t="s">
        <v>90</v>
      </c>
      <c r="J596" s="3" t="s">
        <v>78</v>
      </c>
      <c r="K596" s="3" t="str">
        <f>"515-246-8016"</f>
        <v>515-246-8016</v>
      </c>
    </row>
    <row r="597" spans="1:11" x14ac:dyDescent="0.35">
      <c r="A597" s="3" t="str">
        <f>"02-31"</f>
        <v>02-31</v>
      </c>
      <c r="B597" s="3"/>
      <c r="C597" s="3" t="s">
        <v>283</v>
      </c>
      <c r="D597" s="3" t="s">
        <v>284</v>
      </c>
      <c r="E597" s="3" t="s">
        <v>285</v>
      </c>
      <c r="F597" s="3" t="s">
        <v>288</v>
      </c>
      <c r="G597" s="3" t="s">
        <v>289</v>
      </c>
      <c r="H597" s="3" t="s">
        <v>286</v>
      </c>
      <c r="I597" s="3" t="s">
        <v>287</v>
      </c>
      <c r="J597" s="3" t="s">
        <v>16</v>
      </c>
      <c r="K597" s="3" t="str">
        <f>"317-493-0881"</f>
        <v>317-493-0881</v>
      </c>
    </row>
    <row r="598" spans="1:11" x14ac:dyDescent="0.35">
      <c r="A598" s="3" t="str">
        <f>"99-37"</f>
        <v>99-37</v>
      </c>
      <c r="B598" s="3" t="s">
        <v>2019</v>
      </c>
      <c r="C598" s="3" t="s">
        <v>2020</v>
      </c>
      <c r="D598" s="3" t="s">
        <v>758</v>
      </c>
      <c r="E598" s="3" t="s">
        <v>270</v>
      </c>
      <c r="F598" s="3" t="s">
        <v>759</v>
      </c>
      <c r="G598" s="3" t="s">
        <v>62</v>
      </c>
      <c r="H598" s="3" t="s">
        <v>59</v>
      </c>
      <c r="I598" s="3" t="s">
        <v>60</v>
      </c>
      <c r="J598" s="3" t="s">
        <v>44</v>
      </c>
      <c r="K598" s="3" t="str">
        <f>"319-338-7600"</f>
        <v>319-338-7600</v>
      </c>
    </row>
    <row r="599" spans="1:11" x14ac:dyDescent="0.35">
      <c r="A599" s="3" t="str">
        <f>"99-49"</f>
        <v>99-49</v>
      </c>
      <c r="B599" s="3"/>
      <c r="C599" s="3" t="s">
        <v>2022</v>
      </c>
      <c r="D599" s="3" t="s">
        <v>1219</v>
      </c>
      <c r="E599" s="3" t="s">
        <v>1220</v>
      </c>
      <c r="F599" s="3" t="s">
        <v>2023</v>
      </c>
      <c r="G599" s="3" t="s">
        <v>42</v>
      </c>
      <c r="H599" s="3" t="s">
        <v>39</v>
      </c>
      <c r="I599" s="3" t="s">
        <v>40</v>
      </c>
      <c r="J599" s="3" t="s">
        <v>44</v>
      </c>
      <c r="K599" s="3" t="str">
        <f>"515-262-5965"</f>
        <v>515-262-5965</v>
      </c>
    </row>
    <row r="600" spans="1:11" x14ac:dyDescent="0.35">
      <c r="A600" s="3" t="str">
        <f>"98-08"</f>
        <v>98-08</v>
      </c>
      <c r="B600" s="3" t="s">
        <v>1904</v>
      </c>
      <c r="C600" s="3" t="s">
        <v>1905</v>
      </c>
      <c r="D600" s="3" t="s">
        <v>52</v>
      </c>
      <c r="E600" s="3" t="s">
        <v>38</v>
      </c>
      <c r="F600" s="3" t="s">
        <v>1906</v>
      </c>
      <c r="G600" s="3" t="s">
        <v>42</v>
      </c>
      <c r="H600" s="3" t="s">
        <v>39</v>
      </c>
      <c r="I600" s="3" t="s">
        <v>40</v>
      </c>
      <c r="J600" s="3" t="s">
        <v>44</v>
      </c>
      <c r="K600" s="3" t="str">
        <f>"515-262-5965"</f>
        <v>515-262-5965</v>
      </c>
    </row>
    <row r="601" spans="1:11" x14ac:dyDescent="0.35">
      <c r="A601" s="3" t="str">
        <f>"00-15"</f>
        <v>00-15</v>
      </c>
      <c r="B601" s="3" t="s">
        <v>35</v>
      </c>
      <c r="C601" s="3" t="s">
        <v>36</v>
      </c>
      <c r="D601" s="3" t="s">
        <v>37</v>
      </c>
      <c r="E601" s="3" t="s">
        <v>38</v>
      </c>
      <c r="F601" s="3" t="s">
        <v>41</v>
      </c>
      <c r="G601" s="3" t="s">
        <v>42</v>
      </c>
      <c r="H601" s="3" t="s">
        <v>39</v>
      </c>
      <c r="I601" s="3" t="s">
        <v>40</v>
      </c>
      <c r="J601" s="3" t="s">
        <v>44</v>
      </c>
      <c r="K601" s="3" t="str">
        <f>"515-262-5996"</f>
        <v>515-262-5996</v>
      </c>
    </row>
    <row r="602" spans="1:11" x14ac:dyDescent="0.35">
      <c r="A602" s="3" t="str">
        <f>"02-19"</f>
        <v>02-19</v>
      </c>
      <c r="B602" s="3" t="s">
        <v>237</v>
      </c>
      <c r="C602" s="3" t="s">
        <v>238</v>
      </c>
      <c r="D602" s="3" t="s">
        <v>159</v>
      </c>
      <c r="E602" s="3" t="s">
        <v>160</v>
      </c>
      <c r="F602" s="3" t="s">
        <v>241</v>
      </c>
      <c r="G602" s="3" t="s">
        <v>240</v>
      </c>
      <c r="H602" s="3" t="s">
        <v>239</v>
      </c>
      <c r="I602" s="3" t="s">
        <v>240</v>
      </c>
      <c r="J602" s="3" t="s">
        <v>87</v>
      </c>
      <c r="K602" s="3" t="str">
        <f>"515-314-5481"</f>
        <v>515-314-5481</v>
      </c>
    </row>
    <row r="603" spans="1:11" x14ac:dyDescent="0.35">
      <c r="A603" s="3" t="str">
        <f>"97-14"</f>
        <v>97-14</v>
      </c>
      <c r="B603" s="3" t="s">
        <v>1831</v>
      </c>
      <c r="C603" s="3" t="s">
        <v>1832</v>
      </c>
      <c r="D603" s="3" t="s">
        <v>949</v>
      </c>
      <c r="E603" s="3" t="s">
        <v>950</v>
      </c>
      <c r="F603" s="3" t="s">
        <v>1833</v>
      </c>
      <c r="G603" s="3" t="s">
        <v>247</v>
      </c>
      <c r="H603" s="3" t="s">
        <v>246</v>
      </c>
      <c r="I603" s="3" t="s">
        <v>247</v>
      </c>
      <c r="J603" s="3" t="s">
        <v>16</v>
      </c>
      <c r="K603" s="3" t="str">
        <f>"262-790-4560"</f>
        <v>262-790-4560</v>
      </c>
    </row>
    <row r="604" spans="1:11" x14ac:dyDescent="0.35">
      <c r="A604" s="3" t="str">
        <f>"10-10-243"</f>
        <v>10-10-243</v>
      </c>
      <c r="B604" s="3" t="s">
        <v>970</v>
      </c>
      <c r="C604" s="3" t="s">
        <v>971</v>
      </c>
      <c r="D604" s="3" t="s">
        <v>188</v>
      </c>
      <c r="E604" s="3" t="s">
        <v>160</v>
      </c>
      <c r="F604" s="3" t="s">
        <v>972</v>
      </c>
      <c r="G604" s="3" t="s">
        <v>705</v>
      </c>
      <c r="H604" s="3" t="s">
        <v>704</v>
      </c>
      <c r="I604" s="3" t="s">
        <v>705</v>
      </c>
      <c r="J604" s="3" t="s">
        <v>31</v>
      </c>
      <c r="K604" s="3" t="str">
        <f>"515-490-9001"</f>
        <v>515-490-9001</v>
      </c>
    </row>
    <row r="605" spans="1:11" x14ac:dyDescent="0.35">
      <c r="A605" s="3" t="str">
        <f>"97-16"</f>
        <v>97-16</v>
      </c>
      <c r="B605" s="3" t="s">
        <v>1837</v>
      </c>
      <c r="C605" s="3" t="s">
        <v>1838</v>
      </c>
      <c r="D605" s="3" t="s">
        <v>1272</v>
      </c>
      <c r="E605" s="3" t="s">
        <v>1273</v>
      </c>
      <c r="F605" s="3" t="s">
        <v>1839</v>
      </c>
      <c r="G605" s="3" t="s">
        <v>42</v>
      </c>
      <c r="H605" s="3" t="s">
        <v>39</v>
      </c>
      <c r="I605" s="3" t="s">
        <v>40</v>
      </c>
      <c r="J605" s="3" t="s">
        <v>44</v>
      </c>
      <c r="K605" s="3" t="str">
        <f>"515-262-5965"</f>
        <v>515-262-5965</v>
      </c>
    </row>
    <row r="606" spans="1:11" x14ac:dyDescent="0.35">
      <c r="A606" s="3" t="str">
        <f>"09-0948"</f>
        <v>09-0948</v>
      </c>
      <c r="B606" s="3"/>
      <c r="C606" s="3" t="s">
        <v>895</v>
      </c>
      <c r="D606" s="3" t="s">
        <v>159</v>
      </c>
      <c r="E606" s="3" t="s">
        <v>160</v>
      </c>
      <c r="F606" s="3" t="s">
        <v>898</v>
      </c>
      <c r="G606" s="3" t="s">
        <v>899</v>
      </c>
      <c r="H606" s="3" t="s">
        <v>896</v>
      </c>
      <c r="I606" s="3" t="s">
        <v>897</v>
      </c>
      <c r="J606" s="3" t="s">
        <v>31</v>
      </c>
      <c r="K606" s="3" t="str">
        <f>"515-481-8515"</f>
        <v>515-481-8515</v>
      </c>
    </row>
  </sheetData>
  <autoFilter ref="A1:K606"/>
  <sortState xmlns:xlrd2="http://schemas.microsoft.com/office/spreadsheetml/2017/richdata2" ref="A2:AB633">
    <sortCondition ref="C2:C63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Noland</dc:creator>
  <cp:lastModifiedBy>Julie Noland</cp:lastModifiedBy>
  <dcterms:created xsi:type="dcterms:W3CDTF">2020-12-29T15:42:37Z</dcterms:created>
  <dcterms:modified xsi:type="dcterms:W3CDTF">2020-12-29T15:42:37Z</dcterms:modified>
</cp:coreProperties>
</file>