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wa1-my.sharepoint.com/personal/julie_noland_iowafinance_com/Documents/Desktop/"/>
    </mc:Choice>
  </mc:AlternateContent>
  <xr:revisionPtr revIDLastSave="0" documentId="8_{C8553995-64DC-4595-A8A4-029D506381B6}" xr6:coauthVersionLast="46" xr6:coauthVersionMax="46" xr10:uidLastSave="{00000000-0000-0000-0000-000000000000}"/>
  <bookViews>
    <workbookView xWindow="-120" yWindow="-120" windowWidth="29040" windowHeight="15840"/>
  </bookViews>
  <sheets>
    <sheet name="Active" sheetId="1" r:id="rId1"/>
  </sheets>
  <definedNames>
    <definedName name="_xlnm._FilterDatabase" localSheetId="0" hidden="1">Active!$A$2:$Z$580</definedName>
  </definedNames>
  <calcPr calcId="0"/>
</workbook>
</file>

<file path=xl/calcChain.xml><?xml version="1.0" encoding="utf-8"?>
<calcChain xmlns="http://schemas.openxmlformats.org/spreadsheetml/2006/main">
  <c r="X514" i="1" l="1"/>
  <c r="I514" i="1"/>
  <c r="X344" i="1"/>
  <c r="I344" i="1"/>
  <c r="X343" i="1"/>
  <c r="I343" i="1"/>
  <c r="X284" i="1"/>
  <c r="I284" i="1"/>
  <c r="I251" i="1"/>
  <c r="X250" i="1"/>
  <c r="I250" i="1"/>
  <c r="X249" i="1"/>
  <c r="I249" i="1"/>
  <c r="A126" i="1"/>
  <c r="I126" i="1"/>
  <c r="X126" i="1"/>
  <c r="A252" i="1"/>
  <c r="I252" i="1"/>
  <c r="X252" i="1"/>
  <c r="A102" i="1"/>
  <c r="I102" i="1"/>
  <c r="X102" i="1"/>
  <c r="A127" i="1"/>
  <c r="I127" i="1"/>
  <c r="X127" i="1"/>
  <c r="A414" i="1"/>
  <c r="I414" i="1"/>
  <c r="X414" i="1"/>
  <c r="A515" i="1"/>
  <c r="I515" i="1"/>
  <c r="X515" i="1"/>
  <c r="A487" i="1"/>
  <c r="I487" i="1"/>
  <c r="X487" i="1"/>
  <c r="A325" i="1"/>
  <c r="I325" i="1"/>
  <c r="X325" i="1"/>
  <c r="A48" i="1"/>
  <c r="I48" i="1"/>
  <c r="X48" i="1"/>
  <c r="A354" i="1"/>
  <c r="I354" i="1"/>
  <c r="X354" i="1"/>
  <c r="A326" i="1"/>
  <c r="I326" i="1"/>
  <c r="X326" i="1"/>
  <c r="A549" i="1"/>
  <c r="I549" i="1"/>
  <c r="X549" i="1"/>
  <c r="A550" i="1"/>
  <c r="I550" i="1"/>
  <c r="X550" i="1"/>
  <c r="A103" i="1"/>
  <c r="I103" i="1"/>
  <c r="X103" i="1"/>
  <c r="A488" i="1"/>
  <c r="I488" i="1"/>
  <c r="X488" i="1"/>
  <c r="A510" i="1"/>
  <c r="I510" i="1"/>
  <c r="X510" i="1"/>
  <c r="I527" i="1"/>
  <c r="X527" i="1"/>
  <c r="A158" i="1"/>
  <c r="I158" i="1"/>
  <c r="X158" i="1"/>
  <c r="A287" i="1"/>
  <c r="I287" i="1"/>
  <c r="X287" i="1"/>
  <c r="A90" i="1"/>
  <c r="I90" i="1"/>
  <c r="X90" i="1"/>
  <c r="A489" i="1"/>
  <c r="I489" i="1"/>
  <c r="X489" i="1"/>
  <c r="A389" i="1"/>
  <c r="I389" i="1"/>
  <c r="X389" i="1"/>
  <c r="A355" i="1"/>
  <c r="I355" i="1"/>
  <c r="X355" i="1"/>
  <c r="A163" i="1"/>
  <c r="I163" i="1"/>
  <c r="X163" i="1"/>
  <c r="A536" i="1"/>
  <c r="I536" i="1"/>
  <c r="X536" i="1"/>
  <c r="A31" i="1"/>
  <c r="I31" i="1"/>
  <c r="X31" i="1"/>
  <c r="A37" i="1"/>
  <c r="I37" i="1"/>
  <c r="X37" i="1"/>
  <c r="A164" i="1"/>
  <c r="I164" i="1"/>
  <c r="X164" i="1"/>
  <c r="A165" i="1"/>
  <c r="I165" i="1"/>
  <c r="X165" i="1"/>
  <c r="I528" i="1"/>
  <c r="X528" i="1"/>
  <c r="I530" i="1"/>
  <c r="X530" i="1"/>
  <c r="A128" i="1"/>
  <c r="I128" i="1"/>
  <c r="X128" i="1"/>
  <c r="A166" i="1"/>
  <c r="I166" i="1"/>
  <c r="X166" i="1"/>
  <c r="A551" i="1"/>
  <c r="I551" i="1"/>
  <c r="X551" i="1"/>
  <c r="A167" i="1"/>
  <c r="I167" i="1"/>
  <c r="X167" i="1"/>
  <c r="A490" i="1"/>
  <c r="I490" i="1"/>
  <c r="X490" i="1"/>
  <c r="A390" i="1"/>
  <c r="I390" i="1"/>
  <c r="X390" i="1"/>
  <c r="A327" i="1"/>
  <c r="I327" i="1"/>
  <c r="X327" i="1"/>
  <c r="A288" i="1"/>
  <c r="I288" i="1"/>
  <c r="X288" i="1"/>
  <c r="A104" i="1"/>
  <c r="I104" i="1"/>
  <c r="X104" i="1"/>
  <c r="A397" i="1"/>
  <c r="I397" i="1"/>
  <c r="X397" i="1"/>
  <c r="A253" i="1"/>
  <c r="I253" i="1"/>
  <c r="X253" i="1"/>
  <c r="A168" i="1"/>
  <c r="I168" i="1"/>
  <c r="X168" i="1"/>
  <c r="A122" i="1"/>
  <c r="I122" i="1"/>
  <c r="X122" i="1"/>
  <c r="A398" i="1"/>
  <c r="I398" i="1"/>
  <c r="X398" i="1"/>
  <c r="A537" i="1"/>
  <c r="I537" i="1"/>
  <c r="X537" i="1"/>
  <c r="A54" i="1"/>
  <c r="I54" i="1"/>
  <c r="X54" i="1"/>
  <c r="A385" i="1"/>
  <c r="I385" i="1"/>
  <c r="X385" i="1"/>
  <c r="A169" i="1"/>
  <c r="I169" i="1"/>
  <c r="X169" i="1"/>
  <c r="A170" i="1"/>
  <c r="I170" i="1"/>
  <c r="X170" i="1"/>
  <c r="A350" i="1"/>
  <c r="I350" i="1"/>
  <c r="X350" i="1"/>
  <c r="A12" i="1"/>
  <c r="I12" i="1"/>
  <c r="X12" i="1"/>
  <c r="I328" i="1"/>
  <c r="X328" i="1"/>
  <c r="I538" i="1"/>
  <c r="X538" i="1"/>
  <c r="I83" i="1"/>
  <c r="X83" i="1"/>
  <c r="A171" i="1"/>
  <c r="I171" i="1"/>
  <c r="X171" i="1"/>
  <c r="A172" i="1"/>
  <c r="I172" i="1"/>
  <c r="X172" i="1"/>
  <c r="A129" i="1"/>
  <c r="I129" i="1"/>
  <c r="X129" i="1"/>
  <c r="A372" i="1"/>
  <c r="I372" i="1"/>
  <c r="X372" i="1"/>
  <c r="A399" i="1"/>
  <c r="I399" i="1"/>
  <c r="X399" i="1"/>
  <c r="A130" i="1"/>
  <c r="I130" i="1"/>
  <c r="X130" i="1"/>
  <c r="A131" i="1"/>
  <c r="I131" i="1"/>
  <c r="X131" i="1"/>
  <c r="A467" i="1"/>
  <c r="I467" i="1"/>
  <c r="X467" i="1"/>
  <c r="A173" i="1"/>
  <c r="I173" i="1"/>
  <c r="X173" i="1"/>
  <c r="A391" i="1"/>
  <c r="I391" i="1"/>
  <c r="X391" i="1"/>
  <c r="A32" i="1"/>
  <c r="I32" i="1"/>
  <c r="X32" i="1"/>
  <c r="A459" i="1"/>
  <c r="I459" i="1"/>
  <c r="X459" i="1"/>
  <c r="A460" i="1"/>
  <c r="I460" i="1"/>
  <c r="X460" i="1"/>
  <c r="A254" i="1"/>
  <c r="I254" i="1"/>
  <c r="X254" i="1"/>
  <c r="A13" i="1"/>
  <c r="I13" i="1"/>
  <c r="X13" i="1"/>
  <c r="A132" i="1"/>
  <c r="I132" i="1"/>
  <c r="X132" i="1"/>
  <c r="A431" i="1"/>
  <c r="I431" i="1"/>
  <c r="X431" i="1"/>
  <c r="A386" i="1"/>
  <c r="I386" i="1"/>
  <c r="X386" i="1"/>
  <c r="A105" i="1"/>
  <c r="I105" i="1"/>
  <c r="X105" i="1"/>
  <c r="I25" i="1"/>
  <c r="X25" i="1"/>
  <c r="A255" i="1"/>
  <c r="I255" i="1"/>
  <c r="X255" i="1"/>
  <c r="A133" i="1"/>
  <c r="I133" i="1"/>
  <c r="X133" i="1"/>
  <c r="A134" i="1"/>
  <c r="I134" i="1"/>
  <c r="X134" i="1"/>
  <c r="A135" i="1"/>
  <c r="I135" i="1"/>
  <c r="X135" i="1"/>
  <c r="A539" i="1"/>
  <c r="I539" i="1"/>
  <c r="X539" i="1"/>
  <c r="A55" i="1"/>
  <c r="I55" i="1"/>
  <c r="X55" i="1"/>
  <c r="A174" i="1"/>
  <c r="I174" i="1"/>
  <c r="X174" i="1"/>
  <c r="A415" i="1"/>
  <c r="I415" i="1"/>
  <c r="X415" i="1"/>
  <c r="A356" i="1"/>
  <c r="I356" i="1"/>
  <c r="X356" i="1"/>
  <c r="A175" i="1"/>
  <c r="I175" i="1"/>
  <c r="X175" i="1"/>
  <c r="A176" i="1"/>
  <c r="I176" i="1"/>
  <c r="X176" i="1"/>
  <c r="A3" i="1"/>
  <c r="I3" i="1"/>
  <c r="X3" i="1"/>
  <c r="A91" i="1"/>
  <c r="I91" i="1"/>
  <c r="X91" i="1"/>
  <c r="A564" i="1"/>
  <c r="I564" i="1"/>
  <c r="X564" i="1"/>
  <c r="A413" i="1"/>
  <c r="I413" i="1"/>
  <c r="X413" i="1"/>
  <c r="A87" i="1"/>
  <c r="I87" i="1"/>
  <c r="X87" i="1"/>
  <c r="A461" i="1"/>
  <c r="I461" i="1"/>
  <c r="X461" i="1"/>
  <c r="A368" i="1"/>
  <c r="I368" i="1"/>
  <c r="X368" i="1"/>
  <c r="A177" i="1"/>
  <c r="I177" i="1"/>
  <c r="X177" i="1"/>
  <c r="A178" i="1"/>
  <c r="I178" i="1"/>
  <c r="X178" i="1"/>
  <c r="A179" i="1"/>
  <c r="I179" i="1"/>
  <c r="X179" i="1"/>
  <c r="A491" i="1"/>
  <c r="I491" i="1"/>
  <c r="X491" i="1"/>
  <c r="A492" i="1"/>
  <c r="I492" i="1"/>
  <c r="X492" i="1"/>
  <c r="I329" i="1"/>
  <c r="X329" i="1"/>
  <c r="I256" i="1"/>
  <c r="X256" i="1"/>
  <c r="A180" i="1"/>
  <c r="I180" i="1"/>
  <c r="X180" i="1"/>
  <c r="A473" i="1"/>
  <c r="I473" i="1"/>
  <c r="X473" i="1"/>
  <c r="A181" i="1"/>
  <c r="I181" i="1"/>
  <c r="X181" i="1"/>
  <c r="A552" i="1"/>
  <c r="I552" i="1"/>
  <c r="X552" i="1"/>
  <c r="A20" i="1"/>
  <c r="I20" i="1"/>
  <c r="X20" i="1"/>
  <c r="A136" i="1"/>
  <c r="I136" i="1"/>
  <c r="X136" i="1"/>
  <c r="A381" i="1"/>
  <c r="I381" i="1"/>
  <c r="X381" i="1"/>
  <c r="A137" i="1"/>
  <c r="I137" i="1"/>
  <c r="X137" i="1"/>
  <c r="A416" i="1"/>
  <c r="I416" i="1"/>
  <c r="X416" i="1"/>
  <c r="A330" i="1"/>
  <c r="I330" i="1"/>
  <c r="X330" i="1"/>
  <c r="A417" i="1"/>
  <c r="I417" i="1"/>
  <c r="X417" i="1"/>
  <c r="A280" i="1"/>
  <c r="I280" i="1"/>
  <c r="X280" i="1"/>
  <c r="A521" i="1"/>
  <c r="I521" i="1"/>
  <c r="X521" i="1"/>
  <c r="A493" i="1"/>
  <c r="I493" i="1"/>
  <c r="X493" i="1"/>
  <c r="A88" i="1"/>
  <c r="I88" i="1"/>
  <c r="X88" i="1"/>
  <c r="A182" i="1"/>
  <c r="I182" i="1"/>
  <c r="X182" i="1"/>
  <c r="A257" i="1"/>
  <c r="I257" i="1"/>
  <c r="X257" i="1"/>
  <c r="A92" i="1"/>
  <c r="I92" i="1"/>
  <c r="X92" i="1"/>
  <c r="A138" i="1"/>
  <c r="I138" i="1"/>
  <c r="X138" i="1"/>
  <c r="A106" i="1"/>
  <c r="I106" i="1"/>
  <c r="X106" i="1"/>
  <c r="A516" i="1"/>
  <c r="I516" i="1"/>
  <c r="X516" i="1"/>
  <c r="A139" i="1"/>
  <c r="I139" i="1"/>
  <c r="X139" i="1"/>
  <c r="I289" i="1"/>
  <c r="X289" i="1"/>
  <c r="I296" i="1"/>
  <c r="X296" i="1"/>
  <c r="I297" i="1"/>
  <c r="X297" i="1"/>
  <c r="I298" i="1"/>
  <c r="X298" i="1"/>
  <c r="I159" i="1"/>
  <c r="X159" i="1"/>
  <c r="I38" i="1"/>
  <c r="X38" i="1"/>
  <c r="I39" i="1"/>
  <c r="X39" i="1"/>
  <c r="I40" i="1"/>
  <c r="X40" i="1"/>
  <c r="A540" i="1"/>
  <c r="I540" i="1"/>
  <c r="X540" i="1"/>
  <c r="A183" i="1"/>
  <c r="I183" i="1"/>
  <c r="X183" i="1"/>
  <c r="A56" i="1"/>
  <c r="I56" i="1"/>
  <c r="X56" i="1"/>
  <c r="A93" i="1"/>
  <c r="I93" i="1"/>
  <c r="X93" i="1"/>
  <c r="A432" i="1"/>
  <c r="I432" i="1"/>
  <c r="X432" i="1"/>
  <c r="A331" i="1"/>
  <c r="I331" i="1"/>
  <c r="X331" i="1"/>
  <c r="A57" i="1"/>
  <c r="I57" i="1"/>
  <c r="X57" i="1"/>
  <c r="A184" i="1"/>
  <c r="I184" i="1"/>
  <c r="X184" i="1"/>
  <c r="A107" i="1"/>
  <c r="I107" i="1"/>
  <c r="X107" i="1"/>
  <c r="A494" i="1"/>
  <c r="I494" i="1"/>
  <c r="X494" i="1"/>
  <c r="A185" i="1"/>
  <c r="I185" i="1"/>
  <c r="X185" i="1"/>
  <c r="A272" i="1"/>
  <c r="I272" i="1"/>
  <c r="X272" i="1"/>
  <c r="A367" i="1"/>
  <c r="I367" i="1"/>
  <c r="X367" i="1"/>
  <c r="A442" i="1"/>
  <c r="I442" i="1"/>
  <c r="X442" i="1"/>
  <c r="A463" i="1"/>
  <c r="I463" i="1"/>
  <c r="X463" i="1"/>
  <c r="A565" i="1"/>
  <c r="I565" i="1"/>
  <c r="X565" i="1"/>
  <c r="A140" i="1"/>
  <c r="I140" i="1"/>
  <c r="X140" i="1"/>
  <c r="A94" i="1"/>
  <c r="I94" i="1"/>
  <c r="X94" i="1"/>
  <c r="A560" i="1"/>
  <c r="I560" i="1"/>
  <c r="X560" i="1"/>
  <c r="A319" i="1"/>
  <c r="I319" i="1"/>
  <c r="X319" i="1"/>
  <c r="A108" i="1"/>
  <c r="I108" i="1"/>
  <c r="X108" i="1"/>
  <c r="A141" i="1"/>
  <c r="I141" i="1"/>
  <c r="X141" i="1"/>
  <c r="A26" i="1"/>
  <c r="I26" i="1"/>
  <c r="X26" i="1"/>
  <c r="A569" i="1"/>
  <c r="I569" i="1"/>
  <c r="X569" i="1"/>
  <c r="I258" i="1"/>
  <c r="X258" i="1"/>
  <c r="A123" i="1"/>
  <c r="I123" i="1"/>
  <c r="X123" i="1"/>
  <c r="A186" i="1"/>
  <c r="I186" i="1"/>
  <c r="X186" i="1"/>
  <c r="A474" i="1"/>
  <c r="I474" i="1"/>
  <c r="X474" i="1"/>
  <c r="A290" i="1"/>
  <c r="I290" i="1"/>
  <c r="X290" i="1"/>
  <c r="A332" i="1"/>
  <c r="I332" i="1"/>
  <c r="X332" i="1"/>
  <c r="A33" i="1"/>
  <c r="I33" i="1"/>
  <c r="X33" i="1"/>
  <c r="A142" i="1"/>
  <c r="I142" i="1"/>
  <c r="X142" i="1"/>
  <c r="A187" i="1"/>
  <c r="I187" i="1"/>
  <c r="X187" i="1"/>
  <c r="A433" i="1"/>
  <c r="I433" i="1"/>
  <c r="X433" i="1"/>
  <c r="A188" i="1"/>
  <c r="I188" i="1"/>
  <c r="X188" i="1"/>
  <c r="A189" i="1"/>
  <c r="I189" i="1"/>
  <c r="X189" i="1"/>
  <c r="A190" i="1"/>
  <c r="I190" i="1"/>
  <c r="X190" i="1"/>
  <c r="A109" i="1"/>
  <c r="I109" i="1"/>
  <c r="X109" i="1"/>
  <c r="A143" i="1"/>
  <c r="I143" i="1"/>
  <c r="X143" i="1"/>
  <c r="A144" i="1"/>
  <c r="I144" i="1"/>
  <c r="X144" i="1"/>
  <c r="A191" i="1"/>
  <c r="I191" i="1"/>
  <c r="X191" i="1"/>
  <c r="A259" i="1"/>
  <c r="I259" i="1"/>
  <c r="X259" i="1"/>
  <c r="A495" i="1"/>
  <c r="I495" i="1"/>
  <c r="X495" i="1"/>
  <c r="I299" i="1"/>
  <c r="X299" i="1"/>
  <c r="I407" i="1"/>
  <c r="X407" i="1"/>
  <c r="I408" i="1"/>
  <c r="X408" i="1"/>
  <c r="I509" i="1"/>
  <c r="X509" i="1"/>
  <c r="I518" i="1"/>
  <c r="X518" i="1"/>
  <c r="I519" i="1"/>
  <c r="X519" i="1"/>
  <c r="I359" i="1"/>
  <c r="X359" i="1"/>
  <c r="I260" i="1"/>
  <c r="X260" i="1"/>
  <c r="A570" i="1"/>
  <c r="I570" i="1"/>
  <c r="X570" i="1"/>
  <c r="A192" i="1"/>
  <c r="I192" i="1"/>
  <c r="X192" i="1"/>
  <c r="A193" i="1"/>
  <c r="I193" i="1"/>
  <c r="X193" i="1"/>
  <c r="A475" i="1"/>
  <c r="I475" i="1"/>
  <c r="X475" i="1"/>
  <c r="A451" i="1"/>
  <c r="I451" i="1"/>
  <c r="X451" i="1"/>
  <c r="A452" i="1"/>
  <c r="I452" i="1"/>
  <c r="X452" i="1"/>
  <c r="A110" i="1"/>
  <c r="I110" i="1"/>
  <c r="X110" i="1"/>
  <c r="A145" i="1"/>
  <c r="I145" i="1"/>
  <c r="X145" i="1"/>
  <c r="A567" i="1"/>
  <c r="I567" i="1"/>
  <c r="X567" i="1"/>
  <c r="A194" i="1"/>
  <c r="I194" i="1"/>
  <c r="X194" i="1"/>
  <c r="A195" i="1"/>
  <c r="I195" i="1"/>
  <c r="X195" i="1"/>
  <c r="A571" i="1"/>
  <c r="I571" i="1"/>
  <c r="X571" i="1"/>
  <c r="A196" i="1"/>
  <c r="I196" i="1"/>
  <c r="X196" i="1"/>
  <c r="A333" i="1"/>
  <c r="I333" i="1"/>
  <c r="X333" i="1"/>
  <c r="A58" i="1"/>
  <c r="I58" i="1"/>
  <c r="X58" i="1"/>
  <c r="A59" i="1"/>
  <c r="I59" i="1"/>
  <c r="X59" i="1"/>
  <c r="A197" i="1"/>
  <c r="I197" i="1"/>
  <c r="X197" i="1"/>
  <c r="A198" i="1"/>
  <c r="I198" i="1"/>
  <c r="X198" i="1"/>
  <c r="A27" i="1"/>
  <c r="I27" i="1"/>
  <c r="X27" i="1"/>
  <c r="A199" i="1"/>
  <c r="I199" i="1"/>
  <c r="X199" i="1"/>
  <c r="A60" i="1"/>
  <c r="I60" i="1"/>
  <c r="X60" i="1"/>
  <c r="A511" i="1"/>
  <c r="I511" i="1"/>
  <c r="X511" i="1"/>
  <c r="A61" i="1"/>
  <c r="I61" i="1"/>
  <c r="X61" i="1"/>
  <c r="A576" i="1"/>
  <c r="I576" i="1"/>
  <c r="X576" i="1"/>
  <c r="A291" i="1"/>
  <c r="I291" i="1"/>
  <c r="X291" i="1"/>
  <c r="I261" i="1"/>
  <c r="X261" i="1"/>
  <c r="I23" i="1"/>
  <c r="X23" i="1"/>
  <c r="A14" i="1"/>
  <c r="I14" i="1"/>
  <c r="X14" i="1"/>
  <c r="A572" i="1"/>
  <c r="I572" i="1"/>
  <c r="X572" i="1"/>
  <c r="A28" i="1"/>
  <c r="I28" i="1"/>
  <c r="X28" i="1"/>
  <c r="A541" i="1"/>
  <c r="I541" i="1"/>
  <c r="X541" i="1"/>
  <c r="A542" i="1"/>
  <c r="I542" i="1"/>
  <c r="X542" i="1"/>
  <c r="A496" i="1"/>
  <c r="I496" i="1"/>
  <c r="X496" i="1"/>
  <c r="A200" i="1"/>
  <c r="I200" i="1"/>
  <c r="X200" i="1"/>
  <c r="A62" i="1"/>
  <c r="I62" i="1"/>
  <c r="X62" i="1"/>
  <c r="A146" i="1"/>
  <c r="I146" i="1"/>
  <c r="X146" i="1"/>
  <c r="A543" i="1"/>
  <c r="I543" i="1"/>
  <c r="X543" i="1"/>
  <c r="A553" i="1"/>
  <c r="I553" i="1"/>
  <c r="X553" i="1"/>
  <c r="A15" i="1"/>
  <c r="I15" i="1"/>
  <c r="X15" i="1"/>
  <c r="A357" i="1"/>
  <c r="I357" i="1"/>
  <c r="X357" i="1"/>
  <c r="A63" i="1"/>
  <c r="I63" i="1"/>
  <c r="X63" i="1"/>
  <c r="A262" i="1"/>
  <c r="I262" i="1"/>
  <c r="X262" i="1"/>
  <c r="A434" i="1"/>
  <c r="I434" i="1"/>
  <c r="X434" i="1"/>
  <c r="A111" i="1"/>
  <c r="I111" i="1"/>
  <c r="X111" i="1"/>
  <c r="A201" i="1"/>
  <c r="I201" i="1"/>
  <c r="X201" i="1"/>
  <c r="A64" i="1"/>
  <c r="I64" i="1"/>
  <c r="X64" i="1"/>
  <c r="A300" i="1"/>
  <c r="I300" i="1"/>
  <c r="X300" i="1"/>
  <c r="A421" i="1"/>
  <c r="I421" i="1"/>
  <c r="X421" i="1"/>
  <c r="I445" i="1"/>
  <c r="X445" i="1"/>
  <c r="I19" i="1"/>
  <c r="X19" i="1"/>
  <c r="A202" i="1"/>
  <c r="B202" i="1"/>
  <c r="I202" i="1"/>
  <c r="X202" i="1"/>
  <c r="A203" i="1"/>
  <c r="I203" i="1"/>
  <c r="X203" i="1"/>
  <c r="A204" i="1"/>
  <c r="I204" i="1"/>
  <c r="X204" i="1"/>
  <c r="A544" i="1"/>
  <c r="I544" i="1"/>
  <c r="X544" i="1"/>
  <c r="A205" i="1"/>
  <c r="I205" i="1"/>
  <c r="X205" i="1"/>
  <c r="A206" i="1"/>
  <c r="I206" i="1"/>
  <c r="X206" i="1"/>
  <c r="A207" i="1"/>
  <c r="I207" i="1"/>
  <c r="X207" i="1"/>
  <c r="A208" i="1"/>
  <c r="I208" i="1"/>
  <c r="X208" i="1"/>
  <c r="A209" i="1"/>
  <c r="I209" i="1"/>
  <c r="X209" i="1"/>
  <c r="A437" i="1"/>
  <c r="I437" i="1"/>
  <c r="X437" i="1"/>
  <c r="A423" i="1"/>
  <c r="I423" i="1"/>
  <c r="X423" i="1"/>
  <c r="A580" i="1"/>
  <c r="I580" i="1"/>
  <c r="X580" i="1"/>
  <c r="A7" i="1"/>
  <c r="I7" i="1"/>
  <c r="X7" i="1"/>
  <c r="A438" i="1"/>
  <c r="I438" i="1"/>
  <c r="X438" i="1"/>
  <c r="A545" i="1"/>
  <c r="I545" i="1"/>
  <c r="X545" i="1"/>
  <c r="A554" i="1"/>
  <c r="I554" i="1"/>
  <c r="X554" i="1"/>
  <c r="A573" i="1"/>
  <c r="I573" i="1"/>
  <c r="X573" i="1"/>
  <c r="A263" i="1"/>
  <c r="I263" i="1"/>
  <c r="X263" i="1"/>
  <c r="A8" i="1"/>
  <c r="I8" i="1"/>
  <c r="X8" i="1"/>
  <c r="A210" i="1"/>
  <c r="I210" i="1"/>
  <c r="X210" i="1"/>
  <c r="A124" i="1"/>
  <c r="I124" i="1"/>
  <c r="X124" i="1"/>
  <c r="A345" i="1"/>
  <c r="I345" i="1"/>
  <c r="X345" i="1"/>
  <c r="A4" i="1"/>
  <c r="I4" i="1"/>
  <c r="X4" i="1"/>
  <c r="A5" i="1"/>
  <c r="I5" i="1"/>
  <c r="X5" i="1"/>
  <c r="A346" i="1"/>
  <c r="I346" i="1"/>
  <c r="X346" i="1"/>
  <c r="A41" i="1"/>
  <c r="I41" i="1"/>
  <c r="X41" i="1"/>
  <c r="A51" i="1"/>
  <c r="I51" i="1"/>
  <c r="X51" i="1"/>
  <c r="A404" i="1"/>
  <c r="I404" i="1"/>
  <c r="X404" i="1"/>
  <c r="A409" i="1"/>
  <c r="I409" i="1"/>
  <c r="X409" i="1"/>
  <c r="A422" i="1"/>
  <c r="I422" i="1"/>
  <c r="X422" i="1"/>
  <c r="A439" i="1"/>
  <c r="I439" i="1"/>
  <c r="X439" i="1"/>
  <c r="A520" i="1"/>
  <c r="I520" i="1"/>
  <c r="X520" i="1"/>
  <c r="A533" i="1"/>
  <c r="I533" i="1"/>
  <c r="X533" i="1"/>
  <c r="A314" i="1"/>
  <c r="I314" i="1"/>
  <c r="X314" i="1"/>
  <c r="A211" i="1"/>
  <c r="I211" i="1"/>
  <c r="X211" i="1"/>
  <c r="A351" i="1"/>
  <c r="I351" i="1"/>
  <c r="X351" i="1"/>
  <c r="I410" i="1"/>
  <c r="X410" i="1"/>
  <c r="I512" i="1"/>
  <c r="X512" i="1"/>
  <c r="I42" i="1"/>
  <c r="X42" i="1"/>
  <c r="I43" i="1"/>
  <c r="X43" i="1"/>
  <c r="I44" i="1"/>
  <c r="X44" i="1"/>
  <c r="I45" i="1"/>
  <c r="X45" i="1"/>
  <c r="I529" i="1"/>
  <c r="X529" i="1"/>
  <c r="A16" i="1"/>
  <c r="I16" i="1"/>
  <c r="X16" i="1"/>
  <c r="A65" i="1"/>
  <c r="I65" i="1"/>
  <c r="X65" i="1"/>
  <c r="A305" i="1"/>
  <c r="I305" i="1"/>
  <c r="X305" i="1"/>
  <c r="A212" i="1"/>
  <c r="I212" i="1"/>
  <c r="X212" i="1"/>
  <c r="A352" i="1"/>
  <c r="I352" i="1"/>
  <c r="X352" i="1"/>
  <c r="A147" i="1"/>
  <c r="I147" i="1"/>
  <c r="X147" i="1"/>
  <c r="A46" i="1"/>
  <c r="I46" i="1"/>
  <c r="X46" i="1"/>
  <c r="A213" i="1"/>
  <c r="I213" i="1"/>
  <c r="X213" i="1"/>
  <c r="A334" i="1"/>
  <c r="I334" i="1"/>
  <c r="X334" i="1"/>
  <c r="A214" i="1"/>
  <c r="I214" i="1"/>
  <c r="X214" i="1"/>
  <c r="A264" i="1"/>
  <c r="I264" i="1"/>
  <c r="X264" i="1"/>
  <c r="A215" i="1"/>
  <c r="I215" i="1"/>
  <c r="X215" i="1"/>
  <c r="A112" i="1"/>
  <c r="I112" i="1"/>
  <c r="X112" i="1"/>
  <c r="A99" i="1"/>
  <c r="I99" i="1"/>
  <c r="X99" i="1"/>
  <c r="A216" i="1"/>
  <c r="I216" i="1"/>
  <c r="X216" i="1"/>
  <c r="A217" i="1"/>
  <c r="I217" i="1"/>
  <c r="X217" i="1"/>
  <c r="I335" i="1"/>
  <c r="X335" i="1"/>
  <c r="I479" i="1"/>
  <c r="X479" i="1"/>
  <c r="I446" i="1"/>
  <c r="X446" i="1"/>
  <c r="A306" i="1"/>
  <c r="I306" i="1"/>
  <c r="X306" i="1"/>
  <c r="A218" i="1"/>
  <c r="I218" i="1"/>
  <c r="X218" i="1"/>
  <c r="A219" i="1"/>
  <c r="I219" i="1"/>
  <c r="X219" i="1"/>
  <c r="A392" i="1"/>
  <c r="I392" i="1"/>
  <c r="X392" i="1"/>
  <c r="A348" i="1"/>
  <c r="I348" i="1"/>
  <c r="X348" i="1"/>
  <c r="A220" i="1"/>
  <c r="I220" i="1"/>
  <c r="X220" i="1"/>
  <c r="A221" i="1"/>
  <c r="I221" i="1"/>
  <c r="X221" i="1"/>
  <c r="A292" i="1"/>
  <c r="I292" i="1"/>
  <c r="X292" i="1"/>
  <c r="A369" i="1"/>
  <c r="I369" i="1"/>
  <c r="X369" i="1"/>
  <c r="A222" i="1"/>
  <c r="I222" i="1"/>
  <c r="X222" i="1"/>
  <c r="A223" i="1"/>
  <c r="I223" i="1"/>
  <c r="X223" i="1"/>
  <c r="A497" i="1"/>
  <c r="I497" i="1"/>
  <c r="X497" i="1"/>
  <c r="A148" i="1"/>
  <c r="I148" i="1"/>
  <c r="X148" i="1"/>
  <c r="A363" i="1"/>
  <c r="I363" i="1"/>
  <c r="X363" i="1"/>
  <c r="A498" i="1"/>
  <c r="I498" i="1"/>
  <c r="X498" i="1"/>
  <c r="A376" i="1"/>
  <c r="I376" i="1"/>
  <c r="X376" i="1"/>
  <c r="A400" i="1"/>
  <c r="I400" i="1"/>
  <c r="X400" i="1"/>
  <c r="A95" i="1"/>
  <c r="I95" i="1"/>
  <c r="X95" i="1"/>
  <c r="B224" i="1"/>
  <c r="I224" i="1"/>
  <c r="X224" i="1"/>
  <c r="I66" i="1"/>
  <c r="X66" i="1"/>
  <c r="I225" i="1"/>
  <c r="X225" i="1"/>
  <c r="A403" i="1"/>
  <c r="I403" i="1"/>
  <c r="X403" i="1"/>
  <c r="A226" i="1"/>
  <c r="I226" i="1"/>
  <c r="X226" i="1"/>
  <c r="A227" i="1"/>
  <c r="I227" i="1"/>
  <c r="X227" i="1"/>
  <c r="A228" i="1"/>
  <c r="I228" i="1"/>
  <c r="X228" i="1"/>
  <c r="A229" i="1"/>
  <c r="I229" i="1"/>
  <c r="X229" i="1"/>
  <c r="A230" i="1"/>
  <c r="I230" i="1"/>
  <c r="X230" i="1"/>
  <c r="A465" i="1"/>
  <c r="I465" i="1"/>
  <c r="X465" i="1"/>
  <c r="A522" i="1"/>
  <c r="I522" i="1"/>
  <c r="X522" i="1"/>
  <c r="A555" i="1"/>
  <c r="I555" i="1"/>
  <c r="X555" i="1"/>
  <c r="A231" i="1"/>
  <c r="I231" i="1"/>
  <c r="X231" i="1"/>
  <c r="A523" i="1"/>
  <c r="I523" i="1"/>
  <c r="X523" i="1"/>
  <c r="A424" i="1"/>
  <c r="I424" i="1"/>
  <c r="X424" i="1"/>
  <c r="A100" i="1"/>
  <c r="I100" i="1"/>
  <c r="X100" i="1"/>
  <c r="A285" i="1"/>
  <c r="I285" i="1"/>
  <c r="X285" i="1"/>
  <c r="A484" i="1"/>
  <c r="I484" i="1"/>
  <c r="X484" i="1"/>
  <c r="A393" i="1"/>
  <c r="I393" i="1"/>
  <c r="X393" i="1"/>
  <c r="I67" i="1"/>
  <c r="X67" i="1"/>
  <c r="I149" i="1"/>
  <c r="X149" i="1"/>
  <c r="I68" i="1"/>
  <c r="X68" i="1"/>
  <c r="I69" i="1"/>
  <c r="X69" i="1"/>
  <c r="A499" i="1"/>
  <c r="I499" i="1"/>
  <c r="X499" i="1"/>
  <c r="A281" i="1"/>
  <c r="I281" i="1"/>
  <c r="X281" i="1"/>
  <c r="A282" i="1"/>
  <c r="I282" i="1"/>
  <c r="X282" i="1"/>
  <c r="A21" i="1"/>
  <c r="I21" i="1"/>
  <c r="X21" i="1"/>
  <c r="A401" i="1"/>
  <c r="I401" i="1"/>
  <c r="X401" i="1"/>
  <c r="A444" i="1"/>
  <c r="I444" i="1"/>
  <c r="X444" i="1"/>
  <c r="A70" i="1"/>
  <c r="I70" i="1"/>
  <c r="X70" i="1"/>
  <c r="A161" i="1"/>
  <c r="I161" i="1"/>
  <c r="X161" i="1"/>
  <c r="A534" i="1"/>
  <c r="I534" i="1"/>
  <c r="X534" i="1"/>
  <c r="A453" i="1"/>
  <c r="I453" i="1"/>
  <c r="X453" i="1"/>
  <c r="A546" i="1"/>
  <c r="I546" i="1"/>
  <c r="X546" i="1"/>
  <c r="A360" i="1"/>
  <c r="I360" i="1"/>
  <c r="X360" i="1"/>
  <c r="A155" i="1"/>
  <c r="I155" i="1"/>
  <c r="X155" i="1"/>
  <c r="A309" i="1"/>
  <c r="I309" i="1"/>
  <c r="X309" i="1"/>
  <c r="A71" i="1"/>
  <c r="I71" i="1"/>
  <c r="X71" i="1"/>
  <c r="I477" i="1"/>
  <c r="X477" i="1"/>
  <c r="I336" i="1"/>
  <c r="X336" i="1"/>
  <c r="I526" i="1"/>
  <c r="X526" i="1"/>
  <c r="A513" i="1"/>
  <c r="I513" i="1"/>
  <c r="X513" i="1"/>
  <c r="A476" i="1"/>
  <c r="I476" i="1"/>
  <c r="X476" i="1"/>
  <c r="A232" i="1"/>
  <c r="I232" i="1"/>
  <c r="X232" i="1"/>
  <c r="A387" i="1"/>
  <c r="I387" i="1"/>
  <c r="X387" i="1"/>
  <c r="A388" i="1"/>
  <c r="I388" i="1"/>
  <c r="X388" i="1"/>
  <c r="A468" i="1"/>
  <c r="I468" i="1"/>
  <c r="X468" i="1"/>
  <c r="A469" i="1"/>
  <c r="I469" i="1"/>
  <c r="X469" i="1"/>
  <c r="A82" i="1"/>
  <c r="I82" i="1"/>
  <c r="X82" i="1"/>
  <c r="A358" i="1"/>
  <c r="I358" i="1"/>
  <c r="X358" i="1"/>
  <c r="A233" i="1"/>
  <c r="I233" i="1"/>
  <c r="X233" i="1"/>
  <c r="A234" i="1"/>
  <c r="I234" i="1"/>
  <c r="X234" i="1"/>
  <c r="A150" i="1"/>
  <c r="I150" i="1"/>
  <c r="X150" i="1"/>
  <c r="A151" i="1"/>
  <c r="I151" i="1"/>
  <c r="X151" i="1"/>
  <c r="A318" i="1"/>
  <c r="I318" i="1"/>
  <c r="X318" i="1"/>
  <c r="I235" i="1"/>
  <c r="X235" i="1"/>
  <c r="I577" i="1"/>
  <c r="X577" i="1"/>
  <c r="I470" i="1"/>
  <c r="X470" i="1"/>
  <c r="A265" i="1"/>
  <c r="I265" i="1"/>
  <c r="X265" i="1"/>
  <c r="A113" i="1"/>
  <c r="I113" i="1"/>
  <c r="X113" i="1"/>
  <c r="A17" i="1"/>
  <c r="I17" i="1"/>
  <c r="X17" i="1"/>
  <c r="A236" i="1"/>
  <c r="I236" i="1"/>
  <c r="X236" i="1"/>
  <c r="A418" i="1"/>
  <c r="I418" i="1"/>
  <c r="X418" i="1"/>
  <c r="A237" i="1"/>
  <c r="I237" i="1"/>
  <c r="X237" i="1"/>
  <c r="A101" i="1"/>
  <c r="I101" i="1"/>
  <c r="X101" i="1"/>
  <c r="A337" i="1"/>
  <c r="I337" i="1"/>
  <c r="X337" i="1"/>
  <c r="A47" i="1"/>
  <c r="I47" i="1"/>
  <c r="X47" i="1"/>
  <c r="A96" i="1"/>
  <c r="I96" i="1"/>
  <c r="X96" i="1"/>
  <c r="A72" i="1"/>
  <c r="I72" i="1"/>
  <c r="X72" i="1"/>
  <c r="A238" i="1"/>
  <c r="I238" i="1"/>
  <c r="X238" i="1"/>
  <c r="I239" i="1"/>
  <c r="X239" i="1"/>
  <c r="I303" i="1"/>
  <c r="X303" i="1"/>
  <c r="I338" i="1"/>
  <c r="X338" i="1"/>
  <c r="A500" i="1"/>
  <c r="I500" i="1"/>
  <c r="X500" i="1"/>
  <c r="A561" i="1"/>
  <c r="I561" i="1"/>
  <c r="X561" i="1"/>
  <c r="A501" i="1"/>
  <c r="I501" i="1"/>
  <c r="X501" i="1"/>
  <c r="A240" i="1"/>
  <c r="I240" i="1"/>
  <c r="A73" i="1"/>
  <c r="I73" i="1"/>
  <c r="X73" i="1"/>
  <c r="A462" i="1"/>
  <c r="I462" i="1"/>
  <c r="X462" i="1"/>
  <c r="A34" i="1"/>
  <c r="I34" i="1"/>
  <c r="X34" i="1"/>
  <c r="A266" i="1"/>
  <c r="I266" i="1"/>
  <c r="X266" i="1"/>
  <c r="A74" i="1"/>
  <c r="I74" i="1"/>
  <c r="X74" i="1"/>
  <c r="A75" i="1"/>
  <c r="I75" i="1"/>
  <c r="X75" i="1"/>
  <c r="A267" i="1"/>
  <c r="I267" i="1"/>
  <c r="X267" i="1"/>
  <c r="A339" i="1"/>
  <c r="I339" i="1"/>
  <c r="X339" i="1"/>
  <c r="A578" i="1"/>
  <c r="I578" i="1"/>
  <c r="X578" i="1"/>
  <c r="A114" i="1"/>
  <c r="I114" i="1"/>
  <c r="X114" i="1"/>
  <c r="I340" i="1"/>
  <c r="X340" i="1"/>
  <c r="A435" i="1"/>
  <c r="I435" i="1"/>
  <c r="X435" i="1"/>
  <c r="A502" i="1"/>
  <c r="I502" i="1"/>
  <c r="X502" i="1"/>
  <c r="A307" i="1"/>
  <c r="I307" i="1"/>
  <c r="X307" i="1"/>
  <c r="A425" i="1"/>
  <c r="I425" i="1"/>
  <c r="X425" i="1"/>
  <c r="A568" i="1"/>
  <c r="I568" i="1"/>
  <c r="X568" i="1"/>
  <c r="A97" i="1"/>
  <c r="I97" i="1"/>
  <c r="X97" i="1"/>
  <c r="A81" i="1"/>
  <c r="I81" i="1"/>
  <c r="X81" i="1"/>
  <c r="A241" i="1"/>
  <c r="I241" i="1"/>
  <c r="X241" i="1"/>
  <c r="A313" i="1"/>
  <c r="I313" i="1"/>
  <c r="X313" i="1"/>
  <c r="A562" i="1"/>
  <c r="I562" i="1"/>
  <c r="X562" i="1"/>
  <c r="A525" i="1"/>
  <c r="I525" i="1"/>
  <c r="X525" i="1"/>
  <c r="A440" i="1"/>
  <c r="I440" i="1"/>
  <c r="X440" i="1"/>
  <c r="A24" i="1"/>
  <c r="I24" i="1"/>
  <c r="X24" i="1"/>
  <c r="A377" i="1"/>
  <c r="I377" i="1"/>
  <c r="X377" i="1"/>
  <c r="A308" i="1"/>
  <c r="I308" i="1"/>
  <c r="X308" i="1"/>
  <c r="A471" i="1"/>
  <c r="I471" i="1"/>
  <c r="X471" i="1"/>
  <c r="A315" i="1"/>
  <c r="I315" i="1"/>
  <c r="X315" i="1"/>
  <c r="A563" i="1"/>
  <c r="I563" i="1"/>
  <c r="X563" i="1"/>
  <c r="A406" i="1"/>
  <c r="I406" i="1"/>
  <c r="X406" i="1"/>
  <c r="A242" i="1"/>
  <c r="I242" i="1"/>
  <c r="X242" i="1"/>
  <c r="A243" i="1"/>
  <c r="I243" i="1"/>
  <c r="X243" i="1"/>
  <c r="A365" i="1"/>
  <c r="I365" i="1"/>
  <c r="X365" i="1"/>
  <c r="A448" i="1"/>
  <c r="I448" i="1"/>
  <c r="X448" i="1"/>
  <c r="A380" i="1"/>
  <c r="I380" i="1"/>
  <c r="X380" i="1"/>
  <c r="A274" i="1"/>
  <c r="I274" i="1"/>
  <c r="X274" i="1"/>
  <c r="A268" i="1"/>
  <c r="I268" i="1"/>
  <c r="X268" i="1"/>
  <c r="A378" i="1"/>
  <c r="I378" i="1"/>
  <c r="X378" i="1"/>
  <c r="A18" i="1"/>
  <c r="I18" i="1"/>
  <c r="X18" i="1"/>
  <c r="A52" i="1"/>
  <c r="I52" i="1"/>
  <c r="X52" i="1"/>
  <c r="A481" i="1"/>
  <c r="I481" i="1"/>
  <c r="X481" i="1"/>
  <c r="A304" i="1"/>
  <c r="I304" i="1"/>
  <c r="X304" i="1"/>
  <c r="A375" i="1"/>
  <c r="I375" i="1"/>
  <c r="X375" i="1"/>
  <c r="A86" i="1"/>
  <c r="I86" i="1"/>
  <c r="X86" i="1"/>
  <c r="A323" i="1"/>
  <c r="I323" i="1"/>
  <c r="X323" i="1"/>
  <c r="A49" i="1"/>
  <c r="I49" i="1"/>
  <c r="X49" i="1"/>
  <c r="A402" i="1"/>
  <c r="I402" i="1"/>
  <c r="X402" i="1"/>
  <c r="A370" i="1"/>
  <c r="I370" i="1"/>
  <c r="X370" i="1"/>
  <c r="A279" i="1"/>
  <c r="I279" i="1"/>
  <c r="X279" i="1"/>
  <c r="A275" i="1"/>
  <c r="I275" i="1"/>
  <c r="X275" i="1"/>
  <c r="A310" i="1"/>
  <c r="I310" i="1"/>
  <c r="X310" i="1"/>
  <c r="A575" i="1"/>
  <c r="I575" i="1"/>
  <c r="X575" i="1"/>
  <c r="A478" i="1"/>
  <c r="I478" i="1"/>
  <c r="X478" i="1"/>
  <c r="A349" i="1"/>
  <c r="I349" i="1"/>
  <c r="X349" i="1"/>
  <c r="A364" i="1"/>
  <c r="I364" i="1"/>
  <c r="X364" i="1"/>
  <c r="A371" i="1"/>
  <c r="I371" i="1"/>
  <c r="X371" i="1"/>
  <c r="A464" i="1"/>
  <c r="I464" i="1"/>
  <c r="X464" i="1"/>
  <c r="A531" i="1"/>
  <c r="I531" i="1"/>
  <c r="X531" i="1"/>
  <c r="A447" i="1"/>
  <c r="I447" i="1"/>
  <c r="X447" i="1"/>
  <c r="A556" i="1"/>
  <c r="I556" i="1"/>
  <c r="X556" i="1"/>
  <c r="A30" i="1"/>
  <c r="I30" i="1"/>
  <c r="X30" i="1"/>
  <c r="A76" i="1"/>
  <c r="I76" i="1"/>
  <c r="X76" i="1"/>
  <c r="A6" i="1"/>
  <c r="I6" i="1"/>
  <c r="X6" i="1"/>
  <c r="A244" i="1"/>
  <c r="I244" i="1"/>
  <c r="X244" i="1"/>
  <c r="A559" i="1"/>
  <c r="I559" i="1"/>
  <c r="X559" i="1"/>
  <c r="A269" i="1"/>
  <c r="B269" i="1"/>
  <c r="I269" i="1"/>
  <c r="X269" i="1"/>
  <c r="A373" i="1"/>
  <c r="I373" i="1"/>
  <c r="X373" i="1"/>
  <c r="A384" i="1"/>
  <c r="I384" i="1"/>
  <c r="X384" i="1"/>
  <c r="A84" i="1"/>
  <c r="I84" i="1"/>
  <c r="X84" i="1"/>
  <c r="A374" i="1"/>
  <c r="I374" i="1"/>
  <c r="X374" i="1"/>
  <c r="A9" i="1"/>
  <c r="I9" i="1"/>
  <c r="X9" i="1"/>
  <c r="A454" i="1"/>
  <c r="I454" i="1"/>
  <c r="X454" i="1"/>
  <c r="A426" i="1"/>
  <c r="I426" i="1"/>
  <c r="X426" i="1"/>
  <c r="A394" i="1"/>
  <c r="I394" i="1"/>
  <c r="X394" i="1"/>
  <c r="A472" i="1"/>
  <c r="I472" i="1"/>
  <c r="X472" i="1"/>
  <c r="A574" i="1"/>
  <c r="I574" i="1"/>
  <c r="X574" i="1"/>
  <c r="A273" i="1"/>
  <c r="I273" i="1"/>
  <c r="X273" i="1"/>
  <c r="A53" i="1"/>
  <c r="I53" i="1"/>
  <c r="X53" i="1"/>
  <c r="A270" i="1"/>
  <c r="I270" i="1"/>
  <c r="X270" i="1"/>
  <c r="A482" i="1"/>
  <c r="B482" i="1"/>
  <c r="I482" i="1"/>
  <c r="X482" i="1"/>
  <c r="A557" i="1"/>
  <c r="I557" i="1"/>
  <c r="X557" i="1"/>
  <c r="A10" i="1"/>
  <c r="I10" i="1"/>
  <c r="X10" i="1"/>
  <c r="A77" i="1"/>
  <c r="I77" i="1"/>
  <c r="X77" i="1"/>
  <c r="A395" i="1"/>
  <c r="I395" i="1"/>
  <c r="X395" i="1"/>
  <c r="A78" i="1"/>
  <c r="I78" i="1"/>
  <c r="X78" i="1"/>
  <c r="A79" i="1"/>
  <c r="I79" i="1"/>
  <c r="X79" i="1"/>
  <c r="A320" i="1"/>
  <c r="I320" i="1"/>
  <c r="X320" i="1"/>
  <c r="A245" i="1"/>
  <c r="I245" i="1"/>
  <c r="X245" i="1"/>
  <c r="A427" i="1"/>
  <c r="I427" i="1"/>
  <c r="X427" i="1"/>
  <c r="A449" i="1"/>
  <c r="I449" i="1"/>
  <c r="X449" i="1"/>
  <c r="A115" i="1"/>
  <c r="I115" i="1"/>
  <c r="X115" i="1"/>
  <c r="A271" i="1"/>
  <c r="I271" i="1"/>
  <c r="X271" i="1"/>
  <c r="A293" i="1"/>
  <c r="I293" i="1"/>
  <c r="X293" i="1"/>
  <c r="A485" i="1"/>
  <c r="I485" i="1"/>
  <c r="X485" i="1"/>
  <c r="A503" i="1"/>
  <c r="I503" i="1"/>
  <c r="X503" i="1"/>
  <c r="A116" i="1"/>
  <c r="I116" i="1"/>
  <c r="X116" i="1"/>
  <c r="A436" i="1"/>
  <c r="I436" i="1"/>
  <c r="X436" i="1"/>
  <c r="A322" i="1"/>
  <c r="I322" i="1"/>
  <c r="X322" i="1"/>
  <c r="A80" i="1"/>
  <c r="I80" i="1"/>
  <c r="X80" i="1"/>
  <c r="A366" i="1"/>
  <c r="I366" i="1"/>
  <c r="X366" i="1"/>
  <c r="A121" i="1"/>
  <c r="I121" i="1"/>
  <c r="X121" i="1"/>
  <c r="A524" i="1"/>
  <c r="I524" i="1"/>
  <c r="X524" i="1"/>
  <c r="A35" i="1"/>
  <c r="I35" i="1"/>
  <c r="X35" i="1"/>
  <c r="A566" i="1"/>
  <c r="I566" i="1"/>
  <c r="X566" i="1"/>
  <c r="A156" i="1"/>
  <c r="I156" i="1"/>
  <c r="X156" i="1"/>
  <c r="A294" i="1"/>
  <c r="I294" i="1"/>
  <c r="X294" i="1"/>
  <c r="A379" i="1"/>
  <c r="I379" i="1"/>
  <c r="X379" i="1"/>
  <c r="A125" i="1"/>
  <c r="I125" i="1"/>
  <c r="X125" i="1"/>
  <c r="A295" i="1"/>
  <c r="I295" i="1"/>
  <c r="X295" i="1"/>
  <c r="A157" i="1"/>
  <c r="I157" i="1"/>
  <c r="X157" i="1"/>
  <c r="A532" i="1"/>
  <c r="I532" i="1"/>
  <c r="X532" i="1"/>
  <c r="A278" i="1"/>
  <c r="I278" i="1"/>
  <c r="X278" i="1"/>
  <c r="A152" i="1"/>
  <c r="I152" i="1"/>
  <c r="X152" i="1"/>
  <c r="A411" i="1"/>
  <c r="I411" i="1"/>
  <c r="X411" i="1"/>
  <c r="A483" i="1"/>
  <c r="I483" i="1"/>
  <c r="X483" i="1"/>
  <c r="A277" i="1"/>
  <c r="I277" i="1"/>
  <c r="X277" i="1"/>
  <c r="A153" i="1"/>
  <c r="I153" i="1"/>
  <c r="X153" i="1"/>
  <c r="A547" i="1"/>
  <c r="I547" i="1"/>
  <c r="X547" i="1"/>
  <c r="A428" i="1"/>
  <c r="I428" i="1"/>
  <c r="X428" i="1"/>
  <c r="A419" i="1"/>
  <c r="I419" i="1"/>
  <c r="X419" i="1"/>
  <c r="A535" i="1"/>
  <c r="I535" i="1"/>
  <c r="X535" i="1"/>
  <c r="A450" i="1"/>
  <c r="I450" i="1"/>
  <c r="X450" i="1"/>
  <c r="A361" i="1"/>
  <c r="I361" i="1"/>
  <c r="X361" i="1"/>
  <c r="A117" i="1"/>
  <c r="I117" i="1"/>
  <c r="X117" i="1"/>
  <c r="A11" i="1"/>
  <c r="I11" i="1"/>
  <c r="X11" i="1"/>
  <c r="A283" i="1"/>
  <c r="I283" i="1"/>
  <c r="X283" i="1"/>
  <c r="A160" i="1"/>
  <c r="I160" i="1"/>
  <c r="X160" i="1"/>
  <c r="A480" i="1"/>
  <c r="I480" i="1"/>
  <c r="X480" i="1"/>
  <c r="A412" i="1"/>
  <c r="I412" i="1"/>
  <c r="X412" i="1"/>
  <c r="A441" i="1"/>
  <c r="I441" i="1"/>
  <c r="X441" i="1"/>
  <c r="A85" i="1"/>
  <c r="I85" i="1"/>
  <c r="X85" i="1"/>
  <c r="A118" i="1"/>
  <c r="I118" i="1"/>
  <c r="X118" i="1"/>
  <c r="A486" i="1"/>
  <c r="I486" i="1"/>
  <c r="X486" i="1"/>
  <c r="A316" i="1"/>
  <c r="I316" i="1"/>
  <c r="X316" i="1"/>
  <c r="A504" i="1"/>
  <c r="I504" i="1"/>
  <c r="X504" i="1"/>
  <c r="A517" i="1"/>
  <c r="I517" i="1"/>
  <c r="X517" i="1"/>
  <c r="A119" i="1"/>
  <c r="I119" i="1"/>
  <c r="X119" i="1"/>
  <c r="A505" i="1"/>
  <c r="I505" i="1"/>
  <c r="X505" i="1"/>
  <c r="A317" i="1"/>
  <c r="I317" i="1"/>
  <c r="X317" i="1"/>
  <c r="A162" i="1"/>
  <c r="I162" i="1"/>
  <c r="X162" i="1"/>
  <c r="A548" i="1"/>
  <c r="I548" i="1"/>
  <c r="X548" i="1"/>
  <c r="A36" i="1"/>
  <c r="I36" i="1"/>
  <c r="X36" i="1"/>
  <c r="A429" i="1"/>
  <c r="I429" i="1"/>
  <c r="X429" i="1"/>
  <c r="A396" i="1"/>
  <c r="I396" i="1"/>
  <c r="X396" i="1"/>
  <c r="A341" i="1"/>
  <c r="I341" i="1"/>
  <c r="X341" i="1"/>
  <c r="A455" i="1"/>
  <c r="I455" i="1"/>
  <c r="X455" i="1"/>
  <c r="A301" i="1"/>
  <c r="I301" i="1"/>
  <c r="X301" i="1"/>
  <c r="A456" i="1"/>
  <c r="I456" i="1"/>
  <c r="X456" i="1"/>
  <c r="A276" i="1"/>
  <c r="I276" i="1"/>
  <c r="X276" i="1"/>
  <c r="A506" i="1"/>
  <c r="I506" i="1"/>
  <c r="X506" i="1"/>
  <c r="A443" i="1"/>
  <c r="I443" i="1"/>
  <c r="X443" i="1"/>
  <c r="A29" i="1"/>
  <c r="I29" i="1"/>
  <c r="X29" i="1"/>
  <c r="A246" i="1"/>
  <c r="I246" i="1"/>
  <c r="X246" i="1"/>
  <c r="A342" i="1"/>
  <c r="I342" i="1"/>
  <c r="X342" i="1"/>
  <c r="A558" i="1"/>
  <c r="I558" i="1"/>
  <c r="X558" i="1"/>
  <c r="A579" i="1"/>
  <c r="I579" i="1"/>
  <c r="X579" i="1"/>
  <c r="A22" i="1"/>
  <c r="I22" i="1"/>
  <c r="X22" i="1"/>
  <c r="A430" i="1"/>
  <c r="I430" i="1"/>
  <c r="X430" i="1"/>
  <c r="A311" i="1"/>
  <c r="I311" i="1"/>
  <c r="X311" i="1"/>
  <c r="A353" i="1"/>
  <c r="I353" i="1"/>
  <c r="X353" i="1"/>
  <c r="A405" i="1"/>
  <c r="I405" i="1"/>
  <c r="X405" i="1"/>
  <c r="A466" i="1"/>
  <c r="I466" i="1"/>
  <c r="X466" i="1"/>
  <c r="A457" i="1"/>
  <c r="I457" i="1"/>
  <c r="X457" i="1"/>
  <c r="A302" i="1"/>
  <c r="I302" i="1"/>
  <c r="X302" i="1"/>
  <c r="A321" i="1"/>
  <c r="I321" i="1"/>
  <c r="X321" i="1"/>
  <c r="A312" i="1"/>
  <c r="I312" i="1"/>
  <c r="X312" i="1"/>
  <c r="A347" i="1"/>
  <c r="I347" i="1"/>
  <c r="X347" i="1"/>
  <c r="A154" i="1"/>
  <c r="I154" i="1"/>
  <c r="X154" i="1"/>
  <c r="A382" i="1"/>
  <c r="I382" i="1"/>
  <c r="X382" i="1"/>
  <c r="A420" i="1"/>
  <c r="I420" i="1"/>
  <c r="X420" i="1"/>
  <c r="A247" i="1"/>
  <c r="I247" i="1"/>
  <c r="X247" i="1"/>
  <c r="A383" i="1"/>
  <c r="I383" i="1"/>
  <c r="X383" i="1"/>
  <c r="A362" i="1"/>
  <c r="I362" i="1"/>
  <c r="X362" i="1"/>
  <c r="A458" i="1"/>
  <c r="I458" i="1"/>
  <c r="X458" i="1"/>
  <c r="A286" i="1"/>
  <c r="I286" i="1"/>
  <c r="X286" i="1"/>
  <c r="A248" i="1"/>
  <c r="I248" i="1"/>
  <c r="X248" i="1"/>
  <c r="A50" i="1"/>
  <c r="I50" i="1"/>
  <c r="X50" i="1"/>
  <c r="A98" i="1"/>
  <c r="I98" i="1"/>
  <c r="X98" i="1"/>
  <c r="A89" i="1"/>
  <c r="I89" i="1"/>
  <c r="X89" i="1"/>
  <c r="A507" i="1"/>
  <c r="I507" i="1"/>
  <c r="X507" i="1"/>
  <c r="A508" i="1"/>
  <c r="I508" i="1"/>
  <c r="X508" i="1"/>
  <c r="I324" i="1"/>
  <c r="X324" i="1"/>
</calcChain>
</file>

<file path=xl/sharedStrings.xml><?xml version="1.0" encoding="utf-8"?>
<sst xmlns="http://schemas.openxmlformats.org/spreadsheetml/2006/main" count="9729" uniqueCount="3192">
  <si>
    <t>Project Name</t>
  </si>
  <si>
    <t>Project City</t>
  </si>
  <si>
    <t>Project County</t>
  </si>
  <si>
    <t>Total LI Units</t>
  </si>
  <si>
    <t>Owner Address 1</t>
  </si>
  <si>
    <t>Owner Address 2</t>
  </si>
  <si>
    <t>Owner City</t>
  </si>
  <si>
    <t>Owner State</t>
  </si>
  <si>
    <t>Owner Zip Code</t>
  </si>
  <si>
    <t>Project Type</t>
  </si>
  <si>
    <t>2501 W 53rd St</t>
  </si>
  <si>
    <t>Scott</t>
  </si>
  <si>
    <t>Pioneer Property Management Inc</t>
  </si>
  <si>
    <t>Brian Fritz</t>
  </si>
  <si>
    <t>Meadow Crest Gardens LP</t>
  </si>
  <si>
    <t>James Bergman</t>
  </si>
  <si>
    <t>7152 Eldorado Pointe</t>
  </si>
  <si>
    <t>West Des Moines</t>
  </si>
  <si>
    <t>IA</t>
  </si>
  <si>
    <t>jim@jnbice.com</t>
  </si>
  <si>
    <t>Carol Wells</t>
  </si>
  <si>
    <t>New Construction</t>
  </si>
  <si>
    <t>125 W 9th St</t>
  </si>
  <si>
    <t>Dubuque</t>
  </si>
  <si>
    <t>Paramark Corp</t>
  </si>
  <si>
    <t>Jessica Brimmer</t>
  </si>
  <si>
    <t>MDI Limited Partnership #47</t>
  </si>
  <si>
    <t>Craig Stenson</t>
  </si>
  <si>
    <t>1600 University Ave</t>
  </si>
  <si>
    <t>Ste 212</t>
  </si>
  <si>
    <t>St Paul</t>
  </si>
  <si>
    <t>MN</t>
  </si>
  <si>
    <t>cstenson@metroplains.com</t>
  </si>
  <si>
    <t>Rehabilitation only</t>
  </si>
  <si>
    <t>405 W Broadway</t>
  </si>
  <si>
    <t>Pottawattamie</t>
  </si>
  <si>
    <t>Wistar Group</t>
  </si>
  <si>
    <t>Doug Mertes</t>
  </si>
  <si>
    <t>CB Bennett 2019 LLC</t>
  </si>
  <si>
    <t>Terry Christensen</t>
  </si>
  <si>
    <t>24608 Jones Circle</t>
  </si>
  <si>
    <t>Waterloo</t>
  </si>
  <si>
    <t>NE</t>
  </si>
  <si>
    <t>terry.christensen@cox.net</t>
  </si>
  <si>
    <t>Kymberly Stevenson</t>
  </si>
  <si>
    <t>901 Tremont</t>
  </si>
  <si>
    <t>Davenport Housing LP</t>
  </si>
  <si>
    <t>Brian Myers</t>
  </si>
  <si>
    <t>777 W Putnam Rd</t>
  </si>
  <si>
    <t>Greenwich</t>
  </si>
  <si>
    <t>CT</t>
  </si>
  <si>
    <t>myersb@richmancapital.com</t>
  </si>
  <si>
    <t>00-HM-216-731</t>
  </si>
  <si>
    <t>805 Main St</t>
  </si>
  <si>
    <t>Woodbury</t>
  </si>
  <si>
    <t>Community Housing Initiatives Inc</t>
  </si>
  <si>
    <t>Chelsie Vander Weide</t>
  </si>
  <si>
    <t>Woodbury Ridge LP</t>
  </si>
  <si>
    <t>Sam Erickson</t>
  </si>
  <si>
    <t>300 E Court Ave</t>
  </si>
  <si>
    <t>Des Moines</t>
  </si>
  <si>
    <t>sam@chihousing.com</t>
  </si>
  <si>
    <t>Lisa L Strait</t>
  </si>
  <si>
    <t>00-HM-219-731</t>
  </si>
  <si>
    <t>2300 Sunner Ave</t>
  </si>
  <si>
    <t>Dickinson</t>
  </si>
  <si>
    <t>Summerfield Park LP</t>
  </si>
  <si>
    <t>00-HM-422-731</t>
  </si>
  <si>
    <t>1104 River Dr S</t>
  </si>
  <si>
    <t>Riverside Estates LP</t>
  </si>
  <si>
    <t>James C Johnson</t>
  </si>
  <si>
    <t>520 Nebraska St</t>
  </si>
  <si>
    <t>Ste 223</t>
  </si>
  <si>
    <t>Sioux City</t>
  </si>
  <si>
    <t>jimj@urban-inc.net</t>
  </si>
  <si>
    <t>00-HMS-423-721</t>
  </si>
  <si>
    <t>1229 Shannon Dr</t>
  </si>
  <si>
    <t>Johnson</t>
  </si>
  <si>
    <t>Keyway Management Company LLC</t>
  </si>
  <si>
    <t>Justin Burns</t>
  </si>
  <si>
    <t>Lexington Place Limited Partnership</t>
  </si>
  <si>
    <t>Jesse Burns</t>
  </si>
  <si>
    <t>319 E Washington St</t>
  </si>
  <si>
    <t>Ste 111</t>
  </si>
  <si>
    <t>Iowa City</t>
  </si>
  <si>
    <t>jesse@burnshousing.com</t>
  </si>
  <si>
    <t>00-HM-424-721</t>
  </si>
  <si>
    <t>822 Monterey Dr</t>
  </si>
  <si>
    <t>Carroll</t>
  </si>
  <si>
    <t>Carroll IHA Senior Housing Limited Partnership</t>
  </si>
  <si>
    <t>00-HM-425-721</t>
  </si>
  <si>
    <t>715 Cleveland Ave</t>
  </si>
  <si>
    <t>Lee</t>
  </si>
  <si>
    <t>Keokuk Senior Housing LP</t>
  </si>
  <si>
    <t>1060 Scott Park Dr</t>
  </si>
  <si>
    <t>Perry Reid Properties</t>
  </si>
  <si>
    <t>Julie Johnson</t>
  </si>
  <si>
    <t>Regency Heights Iowa City II, LLC</t>
  </si>
  <si>
    <t>Angie Welton</t>
  </si>
  <si>
    <t>9200 Andermatt Dr</t>
  </si>
  <si>
    <t>Ste A</t>
  </si>
  <si>
    <t>Lincoln</t>
  </si>
  <si>
    <t>awelton@perryreid.com</t>
  </si>
  <si>
    <t>Jennifer A Wong</t>
  </si>
  <si>
    <t>00-HM-427-721</t>
  </si>
  <si>
    <t>1600 LA Grant Parkway</t>
  </si>
  <si>
    <t>Dallas</t>
  </si>
  <si>
    <t>Truverse Management</t>
  </si>
  <si>
    <t>Victoria Endriss</t>
  </si>
  <si>
    <t>Sugar Creek Waukee LP</t>
  </si>
  <si>
    <t>William E Spreitzer</t>
  </si>
  <si>
    <t>4745 N 7th St</t>
  </si>
  <si>
    <t>Ste 110</t>
  </si>
  <si>
    <t>Phoenix</t>
  </si>
  <si>
    <t>AZ</t>
  </si>
  <si>
    <t>wes@wescap.com</t>
  </si>
  <si>
    <t>Rachael S Hoffman</t>
  </si>
  <si>
    <t>301 Warrior Lane</t>
  </si>
  <si>
    <t>Conlin Properties Inc</t>
  </si>
  <si>
    <t>Beth Ehlers</t>
  </si>
  <si>
    <t>Windfield West Limited Partnership</t>
  </si>
  <si>
    <t>3721 SW 61st St</t>
  </si>
  <si>
    <t>bethe@conlinproperties.com</t>
  </si>
  <si>
    <t>00-HM-430-731</t>
  </si>
  <si>
    <t>2331 Sherwood Dr</t>
  </si>
  <si>
    <t>Mercy Housing Management Group</t>
  </si>
  <si>
    <t>Amanda Petersen</t>
  </si>
  <si>
    <t>Mercy Housing Iowa II LP</t>
  </si>
  <si>
    <t>Carolyn Purtle</t>
  </si>
  <si>
    <t>1600 Broadway</t>
  </si>
  <si>
    <t>Ste 2000</t>
  </si>
  <si>
    <t>Denver</t>
  </si>
  <si>
    <t>CO</t>
  </si>
  <si>
    <t>cpurtle@mercyhousing.org</t>
  </si>
  <si>
    <t>225 Bluff St</t>
  </si>
  <si>
    <t>Center for Siouxland</t>
  </si>
  <si>
    <t>Jonette Spurlock</t>
  </si>
  <si>
    <t>715 Douglas St</t>
  </si>
  <si>
    <t>jonette.spurlock@centerforsiouxland.org</t>
  </si>
  <si>
    <t>00-HM-431-731</t>
  </si>
  <si>
    <t>100 12th St SW</t>
  </si>
  <si>
    <t>Clay</t>
  </si>
  <si>
    <t>Carlson Property Holdings and Mgmt</t>
  </si>
  <si>
    <t>Tanya Carlson</t>
  </si>
  <si>
    <t>SPNIA LP</t>
  </si>
  <si>
    <t>Brad Carlson</t>
  </si>
  <si>
    <t>PO Box 124</t>
  </si>
  <si>
    <t>Spencer</t>
  </si>
  <si>
    <t>brad-carlson@hotmail.com</t>
  </si>
  <si>
    <t>Linn</t>
  </si>
  <si>
    <t>Emphasys Software</t>
  </si>
  <si>
    <t>Acquisition &amp; Rehab</t>
  </si>
  <si>
    <t>322 E 2nd St</t>
  </si>
  <si>
    <t>The Housing Fellowship</t>
  </si>
  <si>
    <t>Ross Resetich</t>
  </si>
  <si>
    <t>tmarshall@housingfellowship.com</t>
  </si>
  <si>
    <t>00-HMS-402-731</t>
  </si>
  <si>
    <t>615 SW 7th St</t>
  </si>
  <si>
    <t>Adair</t>
  </si>
  <si>
    <t>AMC Real Estate, LLC</t>
  </si>
  <si>
    <t>Alex de Catalan</t>
  </si>
  <si>
    <t>5212 SE 31st St</t>
  </si>
  <si>
    <t>acatalan1132@gmail.com</t>
  </si>
  <si>
    <t>01-HM-219-21</t>
  </si>
  <si>
    <t>301 W Day Spring Lane</t>
  </si>
  <si>
    <t>Winneshiek</t>
  </si>
  <si>
    <t>Northeast Iowa Community Action Corporation</t>
  </si>
  <si>
    <t>Jeremy Jostand</t>
  </si>
  <si>
    <t>Decorah Woolen Mills LP</t>
  </si>
  <si>
    <t>Trisha S Wilkins</t>
  </si>
  <si>
    <t>305 Montgomery St</t>
  </si>
  <si>
    <t>PO Box 487</t>
  </si>
  <si>
    <t>Decorah</t>
  </si>
  <si>
    <t>twilkins@neicac.org</t>
  </si>
  <si>
    <t>01-HM-420-28</t>
  </si>
  <si>
    <t>629 Central Ave</t>
  </si>
  <si>
    <t>Webster</t>
  </si>
  <si>
    <t>MDI Limited Partnership 62</t>
  </si>
  <si>
    <t>jhuwe@metroplains.com</t>
  </si>
  <si>
    <t>01-HM-229-28</t>
  </si>
  <si>
    <t>200 5th Ave</t>
  </si>
  <si>
    <t>Clinton</t>
  </si>
  <si>
    <t>Van Allen LP</t>
  </si>
  <si>
    <t>saml@chihousing.com</t>
  </si>
  <si>
    <t>01-HM-434-731</t>
  </si>
  <si>
    <t>2301 W 19th St</t>
  </si>
  <si>
    <t>SXCIA LP</t>
  </si>
  <si>
    <t>PO Box 736</t>
  </si>
  <si>
    <t>01-HM-412-731</t>
  </si>
  <si>
    <t>1509 Marion St</t>
  </si>
  <si>
    <t>Marshall</t>
  </si>
  <si>
    <t>River Oaks IHA LP</t>
  </si>
  <si>
    <t>2815 Lincoln Ave</t>
  </si>
  <si>
    <t>Keokuk Housing Authority</t>
  </si>
  <si>
    <t>Don Amsler</t>
  </si>
  <si>
    <t>Lee County</t>
  </si>
  <si>
    <t>Ryanne Wood</t>
  </si>
  <si>
    <t>PO Box 937</t>
  </si>
  <si>
    <t>Keokuk</t>
  </si>
  <si>
    <t>keokukha@mchsi.com</t>
  </si>
  <si>
    <t>01-HM-425-731</t>
  </si>
  <si>
    <t>2000 Meadow Chase Ln</t>
  </si>
  <si>
    <t>Polk</t>
  </si>
  <si>
    <t>Anawim Housing</t>
  </si>
  <si>
    <t>Russ Frazier</t>
  </si>
  <si>
    <t>DSMIA LLLP</t>
  </si>
  <si>
    <t>William G Hedlund</t>
  </si>
  <si>
    <t>2909 Woodland Ave</t>
  </si>
  <si>
    <t>Ste 8</t>
  </si>
  <si>
    <t>wghedlund@aol.com</t>
  </si>
  <si>
    <t>Black Hawk</t>
  </si>
  <si>
    <t>Central States Property Management LLC</t>
  </si>
  <si>
    <t>Emily Petty</t>
  </si>
  <si>
    <t>Waterloo Apartment Partners LLC</t>
  </si>
  <si>
    <t>John Foley</t>
  </si>
  <si>
    <t>740 S 75th St</t>
  </si>
  <si>
    <t>Omaha</t>
  </si>
  <si>
    <t>john@csdllc.org</t>
  </si>
  <si>
    <t>203 Harrison St</t>
  </si>
  <si>
    <t>Boone</t>
  </si>
  <si>
    <t>Kimberly McMorris</t>
  </si>
  <si>
    <t>203 Harrison Street LP</t>
  </si>
  <si>
    <t>01-HM-428-731</t>
  </si>
  <si>
    <t>3420 Mason Rd</t>
  </si>
  <si>
    <t>Adam Wiesner</t>
  </si>
  <si>
    <t>Black Hawk Village LP</t>
  </si>
  <si>
    <t>David Wiesner</t>
  </si>
  <si>
    <t>7392 Airport View Dr SW</t>
  </si>
  <si>
    <t>Rochester</t>
  </si>
  <si>
    <t>dwiesner@paramark.us</t>
  </si>
  <si>
    <t>3640 E Douglas Ave</t>
  </si>
  <si>
    <t>Parkside East LP</t>
  </si>
  <si>
    <t>1233 7th St</t>
  </si>
  <si>
    <t>Riverbend Duplexes LP</t>
  </si>
  <si>
    <t>1535 Linden St</t>
  </si>
  <si>
    <t>Ste 100B</t>
  </si>
  <si>
    <t>rfrazier@anawimhousing.org</t>
  </si>
  <si>
    <t>MO</t>
  </si>
  <si>
    <t>01-HMS-411-731</t>
  </si>
  <si>
    <t>01-HMS-412-721</t>
  </si>
  <si>
    <t>605 John St</t>
  </si>
  <si>
    <t>Tama</t>
  </si>
  <si>
    <t>Tama Sr Housing LP</t>
  </si>
  <si>
    <t>02-HM-201-721</t>
  </si>
  <si>
    <t>215 E 37th St</t>
  </si>
  <si>
    <t>Vera French Housing Corp</t>
  </si>
  <si>
    <t>Stacy Kiser-Willey</t>
  </si>
  <si>
    <t>VFH LLLP</t>
  </si>
  <si>
    <t>211 E 37th St</t>
  </si>
  <si>
    <t>Davenport</t>
  </si>
  <si>
    <t>kiserwilleys@verafrenchmhc.org</t>
  </si>
  <si>
    <t>Parkside East II Limited Partnership</t>
  </si>
  <si>
    <t>105 SE Windfield Pkwy</t>
  </si>
  <si>
    <t>Windfield West II Limited Partnership</t>
  </si>
  <si>
    <t>6009 SW Creston Ave</t>
  </si>
  <si>
    <t>Raccoon Valley Estates Limited Partnership</t>
  </si>
  <si>
    <t>02-HM-408-721</t>
  </si>
  <si>
    <t>2800 41st St</t>
  </si>
  <si>
    <t>Mid-Step Services</t>
  </si>
  <si>
    <t>Karen Mathisen</t>
  </si>
  <si>
    <t>Sioux City Apartment Partners II LLC</t>
  </si>
  <si>
    <t>02-HM-410-731</t>
  </si>
  <si>
    <t>1601 Marion St</t>
  </si>
  <si>
    <t>River Birch IHA Limited Partnership</t>
  </si>
  <si>
    <t>1355 Shannon Dr</t>
  </si>
  <si>
    <t>Emerson Point Limited Partnership</t>
  </si>
  <si>
    <t>525 N 28th St</t>
  </si>
  <si>
    <t>Fort Dodge Housing Agency</t>
  </si>
  <si>
    <t>Celia Taylor</t>
  </si>
  <si>
    <t>700 S 17th St</t>
  </si>
  <si>
    <t>Fort Dodge</t>
  </si>
  <si>
    <t>amanda@fd-housing.org</t>
  </si>
  <si>
    <t>02-HM-214-731</t>
  </si>
  <si>
    <t>1951 Nash Blvd</t>
  </si>
  <si>
    <t>Thornbury Way LP</t>
  </si>
  <si>
    <t>02-HM-215-28</t>
  </si>
  <si>
    <t>15 N Pennsylvania Ave</t>
  </si>
  <si>
    <t>Cerro Gordo</t>
  </si>
  <si>
    <t>River City LP</t>
  </si>
  <si>
    <t>2650 Raven Oaks Dr</t>
  </si>
  <si>
    <t>Gronen Properties, LLC</t>
  </si>
  <si>
    <t>Lin Manders</t>
  </si>
  <si>
    <t>Arbor Glen Apartments LLC</t>
  </si>
  <si>
    <t>Jeff Manders</t>
  </si>
  <si>
    <t>11243 Oakland Farms Rd</t>
  </si>
  <si>
    <t>crete@yousq.net</t>
  </si>
  <si>
    <t>02-HM-419-731</t>
  </si>
  <si>
    <t>1500 Woodland Ave</t>
  </si>
  <si>
    <t>Perennial Property Management Services LLC</t>
  </si>
  <si>
    <t>Ryan Galloway</t>
  </si>
  <si>
    <t>Woodland Avenue Partners LP</t>
  </si>
  <si>
    <t>696 18th St</t>
  </si>
  <si>
    <t>02-HM-420-721</t>
  </si>
  <si>
    <t>509 N Maple</t>
  </si>
  <si>
    <t>Union</t>
  </si>
  <si>
    <t>Premier Real Estate Management LLC</t>
  </si>
  <si>
    <t>Casey Duffey</t>
  </si>
  <si>
    <t>Premier Summit House IA, LLC</t>
  </si>
  <si>
    <t>3120 Gateway Rd</t>
  </si>
  <si>
    <t>Brookfield</t>
  </si>
  <si>
    <t>WI</t>
  </si>
  <si>
    <t>casey@pre-3.com</t>
  </si>
  <si>
    <t>02-HM-421-731</t>
  </si>
  <si>
    <t>190 S Grover Ave</t>
  </si>
  <si>
    <t>Premier Pebble Creek II IA, LLC</t>
  </si>
  <si>
    <t>02-HM-422-721</t>
  </si>
  <si>
    <t>1311 Prospect Ave</t>
  </si>
  <si>
    <t>WC Stokes Estates Inc</t>
  </si>
  <si>
    <t>La Tonya Stokes</t>
  </si>
  <si>
    <t>Highland Park LP</t>
  </si>
  <si>
    <t>1611 E 4th St</t>
  </si>
  <si>
    <t>PO Box 1623</t>
  </si>
  <si>
    <t>lastokes23@gmail.com</t>
  </si>
  <si>
    <t>02-HM-223-721</t>
  </si>
  <si>
    <t>85 Harbet Ave NW</t>
  </si>
  <si>
    <t>Affordable Housing Network Inc.</t>
  </si>
  <si>
    <t>Kim Eiller</t>
  </si>
  <si>
    <t>Harbet Avenue Limited Partnership</t>
  </si>
  <si>
    <t>Scott Krchak</t>
  </si>
  <si>
    <t>5400 Kirkwood Blvd SW</t>
  </si>
  <si>
    <t>Cedar Rapids</t>
  </si>
  <si>
    <t>skrchak@fouroaks.org</t>
  </si>
  <si>
    <t>02-HM-425-721</t>
  </si>
  <si>
    <t>5960 E Kacena Ave</t>
  </si>
  <si>
    <t>Seldin Management Company</t>
  </si>
  <si>
    <t>Morgan Jones</t>
  </si>
  <si>
    <t>Scott Meadows Senior Housing LP</t>
  </si>
  <si>
    <t>Richard Grimm</t>
  </si>
  <si>
    <t>695 Marion Blvd</t>
  </si>
  <si>
    <t>PO Box 572</t>
  </si>
  <si>
    <t>Marion</t>
  </si>
  <si>
    <t>tdanover@heritagemarion.bank</t>
  </si>
  <si>
    <t>02-HM-428-731</t>
  </si>
  <si>
    <t>4110 E 42nd St</t>
  </si>
  <si>
    <t>DM Hickory Grove LLLP</t>
  </si>
  <si>
    <t>Barbara Kaarlie</t>
  </si>
  <si>
    <t>101 1st St NW</t>
  </si>
  <si>
    <t>Box 66</t>
  </si>
  <si>
    <t>LeMars</t>
  </si>
  <si>
    <t>primebk@premieronline.net</t>
  </si>
  <si>
    <t>02-HM-429-721</t>
  </si>
  <si>
    <t>4041 Hubbell Ave</t>
  </si>
  <si>
    <t>DM Maple Lane LLLP</t>
  </si>
  <si>
    <t>primebk@frontiernet.net</t>
  </si>
  <si>
    <t>6200 Clark Ln</t>
  </si>
  <si>
    <t>Jenny Clayton</t>
  </si>
  <si>
    <t>Brisben Johnston Commons LP</t>
  </si>
  <si>
    <t>Robert Dean</t>
  </si>
  <si>
    <t>11128 John Galt Blvd</t>
  </si>
  <si>
    <t>bob@metonic.net</t>
  </si>
  <si>
    <t>3709 Tripp St</t>
  </si>
  <si>
    <t>Story</t>
  </si>
  <si>
    <t>TWG Management LLC</t>
  </si>
  <si>
    <t>Timika Johnson</t>
  </si>
  <si>
    <t>Windsor TWG, LP</t>
  </si>
  <si>
    <t>Colleen Winship</t>
  </si>
  <si>
    <t>1301 E Washington St</t>
  </si>
  <si>
    <t>Ste 100</t>
  </si>
  <si>
    <t>Indianapolis</t>
  </si>
  <si>
    <t>IN</t>
  </si>
  <si>
    <t>cwinship@twgdev.com</t>
  </si>
  <si>
    <t>02-HM-260-731</t>
  </si>
  <si>
    <t>1201 Moses Bloom Ln</t>
  </si>
  <si>
    <t>02-HM-344-35</t>
  </si>
  <si>
    <t>149 Argyle St</t>
  </si>
  <si>
    <t>The Salvation Army</t>
  </si>
  <si>
    <t>Grace Fee</t>
  </si>
  <si>
    <t>Grace_Fee@usc.salvationarmy.org</t>
  </si>
  <si>
    <t>02-HM-487-721</t>
  </si>
  <si>
    <t>1200 Valley West Dr</t>
  </si>
  <si>
    <t>Floyd</t>
  </si>
  <si>
    <t>Cedar Crest II LP</t>
  </si>
  <si>
    <t>Deer Ridge III LP</t>
  </si>
  <si>
    <t>3560 E Douglas Ave</t>
  </si>
  <si>
    <t>Parkside East III LP</t>
  </si>
  <si>
    <t>1607 W 12th St</t>
  </si>
  <si>
    <t>Davenport Housing II LP</t>
  </si>
  <si>
    <t>03-HM-411-721</t>
  </si>
  <si>
    <t>108 1st Ave NW</t>
  </si>
  <si>
    <t>Plymouth</t>
  </si>
  <si>
    <t>Prime Agency LLC</t>
  </si>
  <si>
    <t>LMAAL LLLP</t>
  </si>
  <si>
    <t>823 6th St SW</t>
  </si>
  <si>
    <t>Cardinal Capital Management Inc</t>
  </si>
  <si>
    <t>Kelli Cogdill</t>
  </si>
  <si>
    <t>CCM-Mason City, LLC</t>
  </si>
  <si>
    <t>Erich Schwenker</t>
  </si>
  <si>
    <t>901 S 70th St</t>
  </si>
  <si>
    <t>West Allis</t>
  </si>
  <si>
    <t>eschwenker@astrausa.com</t>
  </si>
  <si>
    <t>03-HM-221-731</t>
  </si>
  <si>
    <t>1102 W 12th St</t>
  </si>
  <si>
    <t>Premier Housing Management LLC</t>
  </si>
  <si>
    <t>Rebecca Will</t>
  </si>
  <si>
    <t>Cobblestone Terrace LLLP</t>
  </si>
  <si>
    <t>Richard Hutsell</t>
  </si>
  <si>
    <t>755 Selby Ave</t>
  </si>
  <si>
    <t>rhutsell@phmdcorp.com</t>
  </si>
  <si>
    <t>03-HM-222-20</t>
  </si>
  <si>
    <t>1212 W 3rd St</t>
  </si>
  <si>
    <t>Cobblestone Place LLLP</t>
  </si>
  <si>
    <t>03-HMS-423-731</t>
  </si>
  <si>
    <t>110 Peterson Dr</t>
  </si>
  <si>
    <t>Eastern Iowa Regional Housing Authority</t>
  </si>
  <si>
    <t>Mindy Wiley</t>
  </si>
  <si>
    <t>Eastern Iowa Regional Partnership LLLP</t>
  </si>
  <si>
    <t>Kelley Deutmeyer</t>
  </si>
  <si>
    <t>7600 Commerce Park</t>
  </si>
  <si>
    <t>kdeutmeyer@ecia.org</t>
  </si>
  <si>
    <t>03-HM-424-731</t>
  </si>
  <si>
    <t>7500 Meadow Lands Dr</t>
  </si>
  <si>
    <t>DM Meadows LLLP</t>
  </si>
  <si>
    <t>03-HM-425-731</t>
  </si>
  <si>
    <t>122 W Main Str</t>
  </si>
  <si>
    <t>Mtown Westown LLLP</t>
  </si>
  <si>
    <t>James Clark</t>
  </si>
  <si>
    <t>122 W Main St</t>
  </si>
  <si>
    <t>Marshalltown</t>
  </si>
  <si>
    <t>jimwestown@yahoo.com</t>
  </si>
  <si>
    <t>03-HM-426-731</t>
  </si>
  <si>
    <t>1111 Parkway Dr</t>
  </si>
  <si>
    <t>BN/Linden LLLP</t>
  </si>
  <si>
    <t>Carrie Peet</t>
  </si>
  <si>
    <t>4600 E 53rd St</t>
  </si>
  <si>
    <t>cpeet@russellco.com</t>
  </si>
  <si>
    <t>03-HM-231-731</t>
  </si>
  <si>
    <t>910 E Locust</t>
  </si>
  <si>
    <t>Wapello</t>
  </si>
  <si>
    <t>Prairie Townhomes LP</t>
  </si>
  <si>
    <t>03-HM-434-731</t>
  </si>
  <si>
    <t>561 Ottumwa St</t>
  </si>
  <si>
    <t>Oak Terrance Limited Partnership</t>
  </si>
  <si>
    <t>03-HM-435-721</t>
  </si>
  <si>
    <t>3395 John F Kennedy Circle</t>
  </si>
  <si>
    <t>Kennedy Point Limited Partnership</t>
  </si>
  <si>
    <t>Allen Ward</t>
  </si>
  <si>
    <t>3355 Kennedy Circle</t>
  </si>
  <si>
    <t>award@arearesidentialcare.org</t>
  </si>
  <si>
    <t>1315 Coconino Rd</t>
  </si>
  <si>
    <t>EverGreen Real Estate Devlopment Corp</t>
  </si>
  <si>
    <t>Gregory McClenahan</t>
  </si>
  <si>
    <t>The Rose of Ames Limited Partnership</t>
  </si>
  <si>
    <t>16670 Franklin Trl</t>
  </si>
  <si>
    <t>Ste 240</t>
  </si>
  <si>
    <t>Prior Lake</t>
  </si>
  <si>
    <t>gmcclenahan@evergreenredc.com</t>
  </si>
  <si>
    <t>427 Iowa St</t>
  </si>
  <si>
    <t>Optimum Real Estate Management</t>
  </si>
  <si>
    <t>Tina Smothers</t>
  </si>
  <si>
    <t>ABG Davenport Lofts LLC</t>
  </si>
  <si>
    <t>Mike Perry</t>
  </si>
  <si>
    <t>134 N LaSalle St</t>
  </si>
  <si>
    <t>Ste 1950</t>
  </si>
  <si>
    <t>Chicago</t>
  </si>
  <si>
    <t>IL</t>
  </si>
  <si>
    <t>01-HM-424-731</t>
  </si>
  <si>
    <t>711 Savannah Dr</t>
  </si>
  <si>
    <t>Savannah Village LP</t>
  </si>
  <si>
    <t>1 Chapel Ridge Circle</t>
  </si>
  <si>
    <t>ChapelRidge of Cedar Rapids LP</t>
  </si>
  <si>
    <t>4506 Chapel Ridge Ln</t>
  </si>
  <si>
    <t>ChapelRidge of Council Bluffs Limited Partnership</t>
  </si>
  <si>
    <t>03-HM-451-721</t>
  </si>
  <si>
    <t>1509 State St</t>
  </si>
  <si>
    <t>Jackson</t>
  </si>
  <si>
    <t>Bellevuew IHA Limited Partnership</t>
  </si>
  <si>
    <t>1042 Main St</t>
  </si>
  <si>
    <t>Cheryl Schromen</t>
  </si>
  <si>
    <t>Gronen Adaptive Reuse LLLP</t>
  </si>
  <si>
    <t>Mary Gronen</t>
  </si>
  <si>
    <t>900 Jackson St</t>
  </si>
  <si>
    <t>LL2</t>
  </si>
  <si>
    <t>maryg@gronen.com</t>
  </si>
  <si>
    <t>04-HM-202-721</t>
  </si>
  <si>
    <t>227 E 37th St</t>
  </si>
  <si>
    <t>DLB LLLP</t>
  </si>
  <si>
    <t>Marycrest Housing LC</t>
  </si>
  <si>
    <t>04-HM-412-21</t>
  </si>
  <si>
    <t>200 E Arlington</t>
  </si>
  <si>
    <t>Roosevelt Housing Partners LLC</t>
  </si>
  <si>
    <t>04-HM-222-731</t>
  </si>
  <si>
    <t>2701 12th Ave SW</t>
  </si>
  <si>
    <t>Quarton Place 2 Limited Partnership</t>
  </si>
  <si>
    <t>04-HM-123-721</t>
  </si>
  <si>
    <t>1330 19th St</t>
  </si>
  <si>
    <t>The Rose of Des Moines LP</t>
  </si>
  <si>
    <t>1816 Logan St</t>
  </si>
  <si>
    <t>Muscatine</t>
  </si>
  <si>
    <t>Darwin Lynner Company, Inc</t>
  </si>
  <si>
    <t>Eric Lynner</t>
  </si>
  <si>
    <t>Cedar Park Preservation LP</t>
  </si>
  <si>
    <t>2930 Bell Ave</t>
  </si>
  <si>
    <t>eric@darwintlynnerco.com</t>
  </si>
  <si>
    <t>04-HM-428-21</t>
  </si>
  <si>
    <t>401 Main St</t>
  </si>
  <si>
    <t>Historic Hotel Iowa LLLP</t>
  </si>
  <si>
    <t>Kevin Kuckelman</t>
  </si>
  <si>
    <t>kjk.attorney@gmail.com</t>
  </si>
  <si>
    <t>04-HM-130-731</t>
  </si>
  <si>
    <t>333 E Grand Ave</t>
  </si>
  <si>
    <t>East Village Square Apartments LP</t>
  </si>
  <si>
    <t>1200 4th St</t>
  </si>
  <si>
    <t>Walden Point Limited Partnership</t>
  </si>
  <si>
    <t>04-HM-238-721</t>
  </si>
  <si>
    <t>504 Van Fossen Ln</t>
  </si>
  <si>
    <t>Adel Assisted Living Apartments LP</t>
  </si>
  <si>
    <t>04-HM-239-21</t>
  </si>
  <si>
    <t>419 2nd St S</t>
  </si>
  <si>
    <t>Clinton Block LP (fka Howes Armstrong LP)</t>
  </si>
  <si>
    <t>04-HM-240-721</t>
  </si>
  <si>
    <t>2304 Des Moines St</t>
  </si>
  <si>
    <t>Hamilton</t>
  </si>
  <si>
    <t>Hamilton Knolls LP</t>
  </si>
  <si>
    <t>04-HM-242-721</t>
  </si>
  <si>
    <t>300 7th St NE</t>
  </si>
  <si>
    <t>REMcares Townhomes LP</t>
  </si>
  <si>
    <t>04-HM-443-721</t>
  </si>
  <si>
    <t>20 N 4th St</t>
  </si>
  <si>
    <t>Premier Lake Plaza I IA, LLC</t>
  </si>
  <si>
    <t>1600 Steller Ave</t>
  </si>
  <si>
    <t>Premier Emerald Hills IA, LLC</t>
  </si>
  <si>
    <t>1701 Iowa Dr</t>
  </si>
  <si>
    <t>Premier Le Claire IA, LLC</t>
  </si>
  <si>
    <t>904 Walnut St</t>
  </si>
  <si>
    <t>Hubbell Property Management</t>
  </si>
  <si>
    <t>Darcy Valline</t>
  </si>
  <si>
    <t>Hubbell Tower LP</t>
  </si>
  <si>
    <t>Jim Weber</t>
  </si>
  <si>
    <t>6900 Westown Pkwy</t>
  </si>
  <si>
    <t>halcompliance@hubbellrealty.com</t>
  </si>
  <si>
    <t>308 Court Ave</t>
  </si>
  <si>
    <t>Court Avenue Partners I LP</t>
  </si>
  <si>
    <t>01-HM-119-731</t>
  </si>
  <si>
    <t>101 2nd Ave</t>
  </si>
  <si>
    <t>Sherman Associates, Inc</t>
  </si>
  <si>
    <t>Janelle Luxem</t>
  </si>
  <si>
    <t>Vine Street LP</t>
  </si>
  <si>
    <t>George Sherman</t>
  </si>
  <si>
    <t>233 Park Ave S</t>
  </si>
  <si>
    <t>Ste 201</t>
  </si>
  <si>
    <t>Minneapolis</t>
  </si>
  <si>
    <t>gsherman@sherman-associates.com</t>
  </si>
  <si>
    <t>04-HM-453-20</t>
  </si>
  <si>
    <t>425 W 3rd St</t>
  </si>
  <si>
    <t>Oakleaf Property Management</t>
  </si>
  <si>
    <t>George Wakemam</t>
  </si>
  <si>
    <t>Town View Partners LP</t>
  </si>
  <si>
    <t>Michael Crane</t>
  </si>
  <si>
    <t>101 S Reid St</t>
  </si>
  <si>
    <t>Sioux Falls</t>
  </si>
  <si>
    <t>SD</t>
  </si>
  <si>
    <t>mike.crane@lloydcompanies.com</t>
  </si>
  <si>
    <t>04-HM-452-20</t>
  </si>
  <si>
    <t>441 W 3rd St</t>
  </si>
  <si>
    <t>Centennial Manor Partners LP</t>
  </si>
  <si>
    <t>04-HM-248-731</t>
  </si>
  <si>
    <t>857 Longfellow Pl</t>
  </si>
  <si>
    <t>04-HM-454-731</t>
  </si>
  <si>
    <t>521 Garfield Ave</t>
  </si>
  <si>
    <t>Davis Place LLC</t>
  </si>
  <si>
    <t>Dawn Potter</t>
  </si>
  <si>
    <t>Justin Potter</t>
  </si>
  <si>
    <t>davisplacellc@outlook.com</t>
  </si>
  <si>
    <t>925 Sherrylynn Blvd</t>
  </si>
  <si>
    <t>125 SE Windfield Pkwy</t>
  </si>
  <si>
    <t>Windfield West III Limited Partnership</t>
  </si>
  <si>
    <t>05-HM-405-731</t>
  </si>
  <si>
    <t>2325 Radford Rd</t>
  </si>
  <si>
    <t>Asbury EIRP LLLP</t>
  </si>
  <si>
    <t>Kdeutmeyer@ecia.org</t>
  </si>
  <si>
    <t>05-HM-214-28</t>
  </si>
  <si>
    <t>501 Marquette St</t>
  </si>
  <si>
    <t>Davenport Real Estate Holdings LLC</t>
  </si>
  <si>
    <t>227 S Main St</t>
  </si>
  <si>
    <t>Maquoketa Housing II LP</t>
  </si>
  <si>
    <t>Davenport Housing V LP</t>
  </si>
  <si>
    <t>220 Iowa Ave</t>
  </si>
  <si>
    <t>Welch Hotel LP</t>
  </si>
  <si>
    <t>05-HM-218-731</t>
  </si>
  <si>
    <t>2417 Whispering Meadow Dr</t>
  </si>
  <si>
    <t>Whispering Garden IHA Limited Partnership</t>
  </si>
  <si>
    <t>rresetich@housingfellowship.com</t>
  </si>
  <si>
    <t>05-HM-419-721</t>
  </si>
  <si>
    <t>3003 Harmony Ln</t>
  </si>
  <si>
    <t>Fulton Place Limited Partnership</t>
  </si>
  <si>
    <t>John Eichelberger</t>
  </si>
  <si>
    <t>736 Lake Park Blvd</t>
  </si>
  <si>
    <t>john@elopc.com</t>
  </si>
  <si>
    <t>05-HM-420-721</t>
  </si>
  <si>
    <t>802 W Jackson Ave</t>
  </si>
  <si>
    <t>Jefferson</t>
  </si>
  <si>
    <t>Jackson Point Limited Partnership</t>
  </si>
  <si>
    <t>Richard Reed</t>
  </si>
  <si>
    <t>51 E Briggs Ave</t>
  </si>
  <si>
    <t>Fairfield</t>
  </si>
  <si>
    <t>dick.reed@jeffersoncountyia.com</t>
  </si>
  <si>
    <t>1724 E Milwaukee</t>
  </si>
  <si>
    <t>Buena Vista</t>
  </si>
  <si>
    <t>Northpark Apartments LLLP</t>
  </si>
  <si>
    <t>Ann Burge</t>
  </si>
  <si>
    <t>515 N 162nd Ave</t>
  </si>
  <si>
    <t>Ste 202</t>
  </si>
  <si>
    <t>aburge@mheginc.com</t>
  </si>
  <si>
    <t>05-HM-427-721</t>
  </si>
  <si>
    <t>725 Pearl St</t>
  </si>
  <si>
    <t>SCAAL LLLP</t>
  </si>
  <si>
    <t>Premier Lake Plaza II IA, LLC</t>
  </si>
  <si>
    <t>312 Court Ave</t>
  </si>
  <si>
    <t>Court Avenue Partners II LP</t>
  </si>
  <si>
    <t>05-HM-232-29</t>
  </si>
  <si>
    <t>1798 Washington St</t>
  </si>
  <si>
    <t>Washington Court LP</t>
  </si>
  <si>
    <t>900 Jackson St LL2</t>
  </si>
  <si>
    <t>05-HM-233-29</t>
  </si>
  <si>
    <t>721 S 2nd St</t>
  </si>
  <si>
    <t>Armstrong Apartments LP</t>
  </si>
  <si>
    <t>320 E 4th St</t>
  </si>
  <si>
    <t>ABG Sieg Iron Lofts LLC</t>
  </si>
  <si>
    <t>mike@artisancapitalgroup.com</t>
  </si>
  <si>
    <t>05-HM-235-731</t>
  </si>
  <si>
    <t>1831 Nash Blvd</t>
  </si>
  <si>
    <t>Salisbury Court LP</t>
  </si>
  <si>
    <t>05-HM-236-29</t>
  </si>
  <si>
    <t>1703 Hill Ave</t>
  </si>
  <si>
    <t>The Antlers LP</t>
  </si>
  <si>
    <t>106 E 3rd St</t>
  </si>
  <si>
    <t>Mississippi Housing Partners LP</t>
  </si>
  <si>
    <t>05-HM-194-35</t>
  </si>
  <si>
    <t>05-HM-198-1014</t>
  </si>
  <si>
    <t>05-HM-198-22</t>
  </si>
  <si>
    <t>1014 Ave H</t>
  </si>
  <si>
    <t>City of Fort Madison</t>
  </si>
  <si>
    <t>Melinda Blind</t>
  </si>
  <si>
    <t>MM Real Estate LLC</t>
  </si>
  <si>
    <t>Michael Mohrfeld</t>
  </si>
  <si>
    <t>1124 Avenue H</t>
  </si>
  <si>
    <t>Apt 1</t>
  </si>
  <si>
    <t>Fort Madison</t>
  </si>
  <si>
    <t>mohrfeld@mohrfeldelectric.com</t>
  </si>
  <si>
    <t>05-HM-198-509</t>
  </si>
  <si>
    <t>509 Ave F</t>
  </si>
  <si>
    <t>Todd Schneider</t>
  </si>
  <si>
    <t>1944 303rd St</t>
  </si>
  <si>
    <t>cowman63@hotmail.com</t>
  </si>
  <si>
    <t>05-HM-198-833</t>
  </si>
  <si>
    <t>833 Ave G</t>
  </si>
  <si>
    <t>Deidre Hunold</t>
  </si>
  <si>
    <t>John Hunold</t>
  </si>
  <si>
    <t>1606 255th St</t>
  </si>
  <si>
    <t>Donnallson</t>
  </si>
  <si>
    <t>jdhunold@hotmail.com</t>
  </si>
  <si>
    <t>05-HM-296-721</t>
  </si>
  <si>
    <t>704 Ridgewood Dr</t>
  </si>
  <si>
    <t>Trisha Wilkins</t>
  </si>
  <si>
    <t>05-HM-499-22401</t>
  </si>
  <si>
    <t>05-HM-499-22</t>
  </si>
  <si>
    <t>401 Jefferson St</t>
  </si>
  <si>
    <t>Downtown Partners Inc</t>
  </si>
  <si>
    <t>Belinda Colwell</t>
  </si>
  <si>
    <t>Hilltop Properties of Burlington</t>
  </si>
  <si>
    <t>Becky Anderson</t>
  </si>
  <si>
    <t>218 S 6th St</t>
  </si>
  <si>
    <t>Burlington</t>
  </si>
  <si>
    <t>rebaanders@aol.com</t>
  </si>
  <si>
    <t>05-HM-499-22511</t>
  </si>
  <si>
    <t>511 Jefferson St</t>
  </si>
  <si>
    <t>Francis Jackson</t>
  </si>
  <si>
    <t>Frances Jackson</t>
  </si>
  <si>
    <t>2615 S 14th St</t>
  </si>
  <si>
    <t>docfrances@gmail.com</t>
  </si>
  <si>
    <t>05-HM-499-22603</t>
  </si>
  <si>
    <t>603 Jefferson St</t>
  </si>
  <si>
    <t>Joshua/Jennife Caston</t>
  </si>
  <si>
    <t>Joshua Caston</t>
  </si>
  <si>
    <t>8568 180th</t>
  </si>
  <si>
    <t>Sperry</t>
  </si>
  <si>
    <t>jjmcaston@gmail.com</t>
  </si>
  <si>
    <t>421 Oak Ave</t>
  </si>
  <si>
    <t>The Rose of Waterloo LP</t>
  </si>
  <si>
    <t>921 Pleasant St</t>
  </si>
  <si>
    <t>Chestnut Hills Limited Partnership</t>
  </si>
  <si>
    <t>06-HM-409-721</t>
  </si>
  <si>
    <t>5480 Kirkwood Blvd SW</t>
  </si>
  <si>
    <t>ASAC Housing Corp</t>
  </si>
  <si>
    <t>Jeanette Archer-Simons</t>
  </si>
  <si>
    <t>3601 16th Ave SW</t>
  </si>
  <si>
    <t>jarcher-simons@asac.us</t>
  </si>
  <si>
    <t>06-HM-410-721</t>
  </si>
  <si>
    <t>2733 S 19th S</t>
  </si>
  <si>
    <t>Jeannette Archer-Simons</t>
  </si>
  <si>
    <t>06-HM-411-721</t>
  </si>
  <si>
    <t>45 W Jefferson St</t>
  </si>
  <si>
    <t>Jefferson Point Limited Partnership</t>
  </si>
  <si>
    <t>06-HM-412-721</t>
  </si>
  <si>
    <t>4435 Melrose Ave</t>
  </si>
  <si>
    <t>Johnson Co Permanent Supportive Housing LP</t>
  </si>
  <si>
    <t>Brenda Hollinger</t>
  </si>
  <si>
    <t>4515 Melrose Ave</t>
  </si>
  <si>
    <t>bhollinger@abbehealth.org</t>
  </si>
  <si>
    <t>910 7th St SE</t>
  </si>
  <si>
    <t>Irving Point Limited Partnership</t>
  </si>
  <si>
    <t>677 16th St</t>
  </si>
  <si>
    <t>Harrington I Limited Partnership</t>
  </si>
  <si>
    <t>822 S Main St</t>
  </si>
  <si>
    <t>CBIA LLLP</t>
  </si>
  <si>
    <t>John Grosenheider</t>
  </si>
  <si>
    <t>PO Box 66</t>
  </si>
  <si>
    <t>primejg@frontiernet.net</t>
  </si>
  <si>
    <t>06-HM-420-721</t>
  </si>
  <si>
    <t>3300 W 4th St</t>
  </si>
  <si>
    <t>J and M Property Management</t>
  </si>
  <si>
    <t>Brandi Jorgensen</t>
  </si>
  <si>
    <t>Sanctuary Transitional Housing I LLLP</t>
  </si>
  <si>
    <t>Julie Enockson</t>
  </si>
  <si>
    <t>800 5th St</t>
  </si>
  <si>
    <t>Ste 200</t>
  </si>
  <si>
    <t>jenockson@jacksonrecovery.com</t>
  </si>
  <si>
    <t>06-HM-121-20</t>
  </si>
  <si>
    <t>2300 SE 17th Ct</t>
  </si>
  <si>
    <t>Pioneer Woods LLC</t>
  </si>
  <si>
    <t>1405 Harrison Rd</t>
  </si>
  <si>
    <t>Harrison</t>
  </si>
  <si>
    <t>Care Initiatives</t>
  </si>
  <si>
    <t>Emily Crimmins</t>
  </si>
  <si>
    <t>Dunlap Assisted Living LLC</t>
  </si>
  <si>
    <t>Dave Dixon</t>
  </si>
  <si>
    <t>1611 West Lakes Pkwy</t>
  </si>
  <si>
    <t>ddixon@careinitiatives.org</t>
  </si>
  <si>
    <t>810 E 3rd St</t>
  </si>
  <si>
    <t>Decatur</t>
  </si>
  <si>
    <t>Lamoni Assisted Living LLC</t>
  </si>
  <si>
    <t>799 S Des Moines St</t>
  </si>
  <si>
    <t>Sac</t>
  </si>
  <si>
    <t>Odebolt Assisted Living LLC</t>
  </si>
  <si>
    <t>807 E Main St</t>
  </si>
  <si>
    <t>Guthrie</t>
  </si>
  <si>
    <t>Panora Assisted Living LLC</t>
  </si>
  <si>
    <t>305 Fairmeadow Dr</t>
  </si>
  <si>
    <t>Stone Ridge Townhomes LLC</t>
  </si>
  <si>
    <t>Ryan Winter</t>
  </si>
  <si>
    <t>4214 Fleur Dr</t>
  </si>
  <si>
    <t>Ste 10</t>
  </si>
  <si>
    <t>ryanmwinter@yahoo.com</t>
  </si>
  <si>
    <t>1601 W 12th St</t>
  </si>
  <si>
    <t>Davenport Housing VII LP</t>
  </si>
  <si>
    <t>06-HM-440-721</t>
  </si>
  <si>
    <t>800 28th Ave N</t>
  </si>
  <si>
    <t>Skyline Center Inc</t>
  </si>
  <si>
    <t>Paulette Lynch</t>
  </si>
  <si>
    <t>Skyline Center Service Enriched Housing I LLLP</t>
  </si>
  <si>
    <t>Michael Shane Buer</t>
  </si>
  <si>
    <t>2600 N 4th St</t>
  </si>
  <si>
    <t>sbuer@skylinecenter.org</t>
  </si>
  <si>
    <t>06-HM-441-721</t>
  </si>
  <si>
    <t>821 6th St N</t>
  </si>
  <si>
    <t>Bremer</t>
  </si>
  <si>
    <t>Community Based Services Service Enriched I LLLP</t>
  </si>
  <si>
    <t>Sue Lahr</t>
  </si>
  <si>
    <t>Tim Neil</t>
  </si>
  <si>
    <t>415 E Bremer Ave</t>
  </si>
  <si>
    <t>Waverly</t>
  </si>
  <si>
    <t>tneil@co.bremer.ia.us</t>
  </si>
  <si>
    <t>06-HM-442-721</t>
  </si>
  <si>
    <t>725 11th Ave N</t>
  </si>
  <si>
    <t>Humboldt</t>
  </si>
  <si>
    <t>Humboldt Workshop SE Housing Project I LLLP</t>
  </si>
  <si>
    <t>06-HM-447-721</t>
  </si>
  <si>
    <t>1435 N 15th St</t>
  </si>
  <si>
    <t>New Visions Homeless Services</t>
  </si>
  <si>
    <t>Stephanie Wallar</t>
  </si>
  <si>
    <t>Council Bluffs Housing for the Homeless LLC</t>
  </si>
  <si>
    <t>Brandy Waller</t>
  </si>
  <si>
    <t>Council Bluffs</t>
  </si>
  <si>
    <t>bwaller@newvisionshs.org</t>
  </si>
  <si>
    <t>3320 Spring St</t>
  </si>
  <si>
    <t>Spring Village Apartments of Iowa LLC</t>
  </si>
  <si>
    <t>eschwenker@astarusa.com</t>
  </si>
  <si>
    <t>2380 Tech Dr</t>
  </si>
  <si>
    <t>Spruce Hills Village LLC</t>
  </si>
  <si>
    <t>1200 Office Park Rd</t>
  </si>
  <si>
    <t>R&amp;R Investors d/b/a Management Professionals, Inc.</t>
  </si>
  <si>
    <t>Chad Holtey</t>
  </si>
  <si>
    <t>CCV I LLC</t>
  </si>
  <si>
    <t>Steven Gaer</t>
  </si>
  <si>
    <t>1080 Jordan Creek Pkwy</t>
  </si>
  <si>
    <t>Ste 200 North</t>
  </si>
  <si>
    <t>gaer.steve@rrrealty.com</t>
  </si>
  <si>
    <t>06-HM-416-721</t>
  </si>
  <si>
    <t>2080 Elm St</t>
  </si>
  <si>
    <t>Manasseh House (dba Operation Empower)</t>
  </si>
  <si>
    <t>Kimberly Terry</t>
  </si>
  <si>
    <t>Fresh Start Housing LLC</t>
  </si>
  <si>
    <t>Michelle Mihalakis</t>
  </si>
  <si>
    <t>Ste 103</t>
  </si>
  <si>
    <t>michellemihalakis.manasseh@yahoo.com</t>
  </si>
  <si>
    <t>07-HM-201-731</t>
  </si>
  <si>
    <t>1003 S Sumner St</t>
  </si>
  <si>
    <t>Community Housing Ministry</t>
  </si>
  <si>
    <t>Tammy Gibson</t>
  </si>
  <si>
    <t>MBL Development Co</t>
  </si>
  <si>
    <t>Kim Lingle</t>
  </si>
  <si>
    <t>9237 Ward Pkwy</t>
  </si>
  <si>
    <t>Ste 310</t>
  </si>
  <si>
    <t>Kansas City</t>
  </si>
  <si>
    <t>mbldevco@aol.com</t>
  </si>
  <si>
    <t>6000 SW Creston Ave</t>
  </si>
  <si>
    <t>700 NE 56th St</t>
  </si>
  <si>
    <t>07-HM-410-721</t>
  </si>
  <si>
    <t>328 Central Ave</t>
  </si>
  <si>
    <t>Amanda Slife</t>
  </si>
  <si>
    <t>Northwoods Limited Partnership 1</t>
  </si>
  <si>
    <t>Rob McCready</t>
  </si>
  <si>
    <t>801 Washington Ave N</t>
  </si>
  <si>
    <t>Ste 108</t>
  </si>
  <si>
    <t>rmccready@metroplains.com</t>
  </si>
  <si>
    <t>2160 Taylor Dr</t>
  </si>
  <si>
    <t>Berry Court Limited Partnership</t>
  </si>
  <si>
    <t>07-HM-412-721</t>
  </si>
  <si>
    <t>2003 Cedar St</t>
  </si>
  <si>
    <t>T &amp; L Properties</t>
  </si>
  <si>
    <t>Ted Oswald</t>
  </si>
  <si>
    <t>Boone 2 Limited Partnership</t>
  </si>
  <si>
    <t>1909 Sycamore Ave</t>
  </si>
  <si>
    <t>PO Box 456</t>
  </si>
  <si>
    <t>Granger</t>
  </si>
  <si>
    <t>420 River Dr</t>
  </si>
  <si>
    <t>MDI Limited Partnership 56</t>
  </si>
  <si>
    <t>1331 Idaho St</t>
  </si>
  <si>
    <t>The Rose of East Des Moines LP</t>
  </si>
  <si>
    <t>07-HM-418-721</t>
  </si>
  <si>
    <t>Jefferson Point II Limited Partnership</t>
  </si>
  <si>
    <t>1815 High St</t>
  </si>
  <si>
    <t>Stockbridge LP</t>
  </si>
  <si>
    <t>504 E Hillside Ave</t>
  </si>
  <si>
    <t>The Family Company</t>
  </si>
  <si>
    <t>Paula MacArthur</t>
  </si>
  <si>
    <t>Southview Senior Apartments LLLP</t>
  </si>
  <si>
    <t>Tim Mauro</t>
  </si>
  <si>
    <t>3512 Ingersoll Ave</t>
  </si>
  <si>
    <t>tim@CTDevelopmentlowa.com</t>
  </si>
  <si>
    <t>5301 9th St SW</t>
  </si>
  <si>
    <t>Community Homes LP</t>
  </si>
  <si>
    <t>1503 Ave J</t>
  </si>
  <si>
    <t>Heartland Family Service</t>
  </si>
  <si>
    <t>Abby Showers</t>
  </si>
  <si>
    <t>HFS Council Bluffs LLC</t>
  </si>
  <si>
    <t>Mindy Paces</t>
  </si>
  <si>
    <t>1741 S 42nd St</t>
  </si>
  <si>
    <t>Ste 385</t>
  </si>
  <si>
    <t>mpaces@heartlandfamilyservice.org</t>
  </si>
  <si>
    <t>3525 W 42nd St</t>
  </si>
  <si>
    <t>Newbury Management Company d/b/a Newbury Living</t>
  </si>
  <si>
    <t>Frank Levy</t>
  </si>
  <si>
    <t>Horizon Homes Associates, LP</t>
  </si>
  <si>
    <t>James Richardson</t>
  </si>
  <si>
    <t>5124 N Richmond Cir</t>
  </si>
  <si>
    <t>Bettendorf</t>
  </si>
  <si>
    <t>jarichardson1954@gmail.com</t>
  </si>
  <si>
    <t>5901 Elmore Ave</t>
  </si>
  <si>
    <t>Pedcor Management Corp</t>
  </si>
  <si>
    <t>Lela Murch</t>
  </si>
  <si>
    <t>Pedcor Investments 2006 LXXXIX LLC</t>
  </si>
  <si>
    <t>Phillip J Stoffregen</t>
  </si>
  <si>
    <t>770 3rd Ave SW</t>
  </si>
  <si>
    <t>Carmel</t>
  </si>
  <si>
    <t>pjstoffy@pedcor.net</t>
  </si>
  <si>
    <t>3211 30th St</t>
  </si>
  <si>
    <t>2955 Kaufmann Ave</t>
  </si>
  <si>
    <t>St. Mary's Apartments of Dubuque LLC</t>
  </si>
  <si>
    <t>2800 W 4th St</t>
  </si>
  <si>
    <t>Dominium Management Services LLC</t>
  </si>
  <si>
    <t>Jen Brewerton</t>
  </si>
  <si>
    <t>Sioux City Leased Housing Associates I LP</t>
  </si>
  <si>
    <t>Mark Moorhouse</t>
  </si>
  <si>
    <t>2905 Northwest Blvd</t>
  </si>
  <si>
    <t>Ste 150</t>
  </si>
  <si>
    <t>mmoorhouse@dominiuminc.com</t>
  </si>
  <si>
    <t>07-HM-101-822</t>
  </si>
  <si>
    <t>07-HM-101-731</t>
  </si>
  <si>
    <t>822 G Avenue</t>
  </si>
  <si>
    <t>Jared Sperber</t>
  </si>
  <si>
    <t>510 N 7th St</t>
  </si>
  <si>
    <t>jhsper@hotmail.com</t>
  </si>
  <si>
    <t>07-HM-102-101</t>
  </si>
  <si>
    <t>07-HM-102-22</t>
  </si>
  <si>
    <t>101 W Monroe</t>
  </si>
  <si>
    <t>Henry</t>
  </si>
  <si>
    <t>City of Mt Pleasant</t>
  </si>
  <si>
    <t>Brent Schleisman</t>
  </si>
  <si>
    <t>Gabriel Benitez</t>
  </si>
  <si>
    <t>1011 Sunrise Circle</t>
  </si>
  <si>
    <t>gabrielbenitez.gb@gmail.com</t>
  </si>
  <si>
    <t>07-HM-102-110</t>
  </si>
  <si>
    <t>110 S Main St</t>
  </si>
  <si>
    <t>Roger Beckman</t>
  </si>
  <si>
    <t>Mt Pleasant</t>
  </si>
  <si>
    <t>annaspantry@iowatelecom.net</t>
  </si>
  <si>
    <t>07-HM-397-721</t>
  </si>
  <si>
    <t>1765 Racine Ave</t>
  </si>
  <si>
    <t>Zimmerman Buildings, Inc</t>
  </si>
  <si>
    <t>Donna Zimmerman</t>
  </si>
  <si>
    <t>Solon Community Housing Corp.</t>
  </si>
  <si>
    <t>Allen Phillips</t>
  </si>
  <si>
    <t>2150 Jordan Creek Rd NE</t>
  </si>
  <si>
    <t>Solon</t>
  </si>
  <si>
    <t>aphillips@seniorhousingcompanies.com</t>
  </si>
  <si>
    <t>07-HM-400-731</t>
  </si>
  <si>
    <t>609 5th St</t>
  </si>
  <si>
    <t>Mitchell</t>
  </si>
  <si>
    <t>Kolbet Realtors</t>
  </si>
  <si>
    <t>Kevin Kolbet</t>
  </si>
  <si>
    <t>Common Ground Duplexes</t>
  </si>
  <si>
    <t>Roger Mayer</t>
  </si>
  <si>
    <t>39907 Foothill Ave</t>
  </si>
  <si>
    <t>St Ansgar</t>
  </si>
  <si>
    <t>cbluffconst@gmail.com</t>
  </si>
  <si>
    <t>07-HM-403-731</t>
  </si>
  <si>
    <t>132 W Main St</t>
  </si>
  <si>
    <t>JAM Development LLC</t>
  </si>
  <si>
    <t>Jeff Merrill</t>
  </si>
  <si>
    <t>1050 E. Ramon Rd</t>
  </si>
  <si>
    <t>Unit #111</t>
  </si>
  <si>
    <t>Palm Springs</t>
  </si>
  <si>
    <t>CA</t>
  </si>
  <si>
    <t>jallan314@gmail.com</t>
  </si>
  <si>
    <t>07-HM-405-721</t>
  </si>
  <si>
    <t>1210 Eric Dr</t>
  </si>
  <si>
    <t>Knoxville IHA Senior Housing LP</t>
  </si>
  <si>
    <t>07-HM-499-35</t>
  </si>
  <si>
    <t>601 Garfield Ave</t>
  </si>
  <si>
    <t>210 S 41st St</t>
  </si>
  <si>
    <t>Chapel Ridge West I LP</t>
  </si>
  <si>
    <t>6500 SW 9th St</t>
  </si>
  <si>
    <t>Willow Bend II Limited Partnership</t>
  </si>
  <si>
    <t>Deer Ridge VI Limited Partnership</t>
  </si>
  <si>
    <t>600 NE 56th St</t>
  </si>
  <si>
    <t>08-HM-206-29</t>
  </si>
  <si>
    <t>715 B Ave W</t>
  </si>
  <si>
    <t>Mahaska</t>
  </si>
  <si>
    <t>Grant Terrace LLLP</t>
  </si>
  <si>
    <t>08-HM-207-29</t>
  </si>
  <si>
    <t>911 B Ave W</t>
  </si>
  <si>
    <t>Lincoln Terrace LP</t>
  </si>
  <si>
    <t>1000 S Main St</t>
  </si>
  <si>
    <t>Harvester Artist Lofts LP</t>
  </si>
  <si>
    <t>Greg Foley</t>
  </si>
  <si>
    <t>250 3rd Ave N</t>
  </si>
  <si>
    <t>Ste 400</t>
  </si>
  <si>
    <t>greg.foley@artspace.org</t>
  </si>
  <si>
    <t>Pedcor Investments 2008 CXVII LLC</t>
  </si>
  <si>
    <t>9005 Bridgewood Blvd</t>
  </si>
  <si>
    <t>Pedcor Investments 2008 CXIII LLC</t>
  </si>
  <si>
    <t>09-HM-196-28</t>
  </si>
  <si>
    <t>926 Oakridge Dr</t>
  </si>
  <si>
    <t>Homes of Oakridge Human Services Inc.</t>
  </si>
  <si>
    <t>Teree Caldwell-Johnson</t>
  </si>
  <si>
    <t>Oakridge Neighborhood Assoc LP</t>
  </si>
  <si>
    <t>Patricia Palmer</t>
  </si>
  <si>
    <t>1401 Center St</t>
  </si>
  <si>
    <t>ppalmer@oakridgeneighborhood.org</t>
  </si>
  <si>
    <t>09-HM-198-28</t>
  </si>
  <si>
    <t>923 Oakridge Dr</t>
  </si>
  <si>
    <t>Oakridge Neighborhood Associates Phase II</t>
  </si>
  <si>
    <t>Chapel Ridge West II LP</t>
  </si>
  <si>
    <t>6616 SW 9th St</t>
  </si>
  <si>
    <t>Willow Bend, LP</t>
  </si>
  <si>
    <t>09-HM-212-731</t>
  </si>
  <si>
    <t>1062 Chamberlain Dr</t>
  </si>
  <si>
    <t>Aniston Village LP</t>
  </si>
  <si>
    <t>Maryann Dennis</t>
  </si>
  <si>
    <t>09-HM-417-721</t>
  </si>
  <si>
    <t>1100 O Ave</t>
  </si>
  <si>
    <t>Cedar View Apts LP</t>
  </si>
  <si>
    <t>200 1st Ave NE</t>
  </si>
  <si>
    <t>SA Roosevelt LP</t>
  </si>
  <si>
    <t>100 2nd Ave</t>
  </si>
  <si>
    <t>SA Metro Lofts LP</t>
  </si>
  <si>
    <t>104 SW 4th St</t>
  </si>
  <si>
    <t>Rumely Lofts LP</t>
  </si>
  <si>
    <t>2205 Kimberly Ave</t>
  </si>
  <si>
    <t>JNB Hometown Harbor LLC</t>
  </si>
  <si>
    <t>5515 SE 14th St</t>
  </si>
  <si>
    <t>Vicky Ohrtman</t>
  </si>
  <si>
    <t>Melbourne Apartments LLLP</t>
  </si>
  <si>
    <t>08-HM-208-721</t>
  </si>
  <si>
    <t>845 31st Ave SW</t>
  </si>
  <si>
    <t>Home to Stay LP</t>
  </si>
  <si>
    <t>08-HM-212-29</t>
  </si>
  <si>
    <t>104 E 4th St</t>
  </si>
  <si>
    <t>Old Spencer School LLLP</t>
  </si>
  <si>
    <t>1234 4th Ave SE</t>
  </si>
  <si>
    <t>Brown Apartments LP</t>
  </si>
  <si>
    <t>426 W Mills St</t>
  </si>
  <si>
    <t>Madison</t>
  </si>
  <si>
    <t>RD Preservation II, LLLP</t>
  </si>
  <si>
    <t>927 Central Ave</t>
  </si>
  <si>
    <t>Shari L Miller</t>
  </si>
  <si>
    <t>Fort Dodge Leased Housing Associates I LP</t>
  </si>
  <si>
    <t>3408 Woodland Ave</t>
  </si>
  <si>
    <t>Ste 504</t>
  </si>
  <si>
    <t>flevy@newburyliving.com</t>
  </si>
  <si>
    <t>08-HM-423-721</t>
  </si>
  <si>
    <t>196 Kaufman Ave</t>
  </si>
  <si>
    <t>Salvia House LTD</t>
  </si>
  <si>
    <t>08-HM-429-22</t>
  </si>
  <si>
    <t>544 E Ramsey St</t>
  </si>
  <si>
    <t>Kossuth</t>
  </si>
  <si>
    <t>Greater Bancroft Company LC</t>
  </si>
  <si>
    <t>Amy Lowe</t>
  </si>
  <si>
    <t>Deb Doocy</t>
  </si>
  <si>
    <t>PO Box 290</t>
  </si>
  <si>
    <t>Bancroft</t>
  </si>
  <si>
    <t>ddoocy@penningcpa.com</t>
  </si>
  <si>
    <t>Conversion Rehabilitation</t>
  </si>
  <si>
    <t>420 E 7th St</t>
  </si>
  <si>
    <t>CHI Ames LLLP</t>
  </si>
  <si>
    <t>916 Ashworth Rd</t>
  </si>
  <si>
    <t>Crestview Terrace LLLP</t>
  </si>
  <si>
    <t>09-HM-211-721</t>
  </si>
  <si>
    <t>3465 Holiday Ct</t>
  </si>
  <si>
    <t>Holiday Court LLLP</t>
  </si>
  <si>
    <t>09-HM-413-29</t>
  </si>
  <si>
    <t>1119 Kent Circle</t>
  </si>
  <si>
    <t>Liberty Manor Apts of Waterloo LLC</t>
  </si>
  <si>
    <t>09-HM-414-731</t>
  </si>
  <si>
    <t>100 Unity Square</t>
  </si>
  <si>
    <t>CommonBond Communities</t>
  </si>
  <si>
    <t>Cecile Bedor</t>
  </si>
  <si>
    <t>East Waterloo Family Housing LLLP</t>
  </si>
  <si>
    <t>1080 Montreal Ave</t>
  </si>
  <si>
    <t>cecile.bedor@commonbond.org</t>
  </si>
  <si>
    <t>09-HM-416-29</t>
  </si>
  <si>
    <t>821 Jackson St</t>
  </si>
  <si>
    <t>821 Jackson St LLLP</t>
  </si>
  <si>
    <t>James Johnson</t>
  </si>
  <si>
    <t>Ste 233</t>
  </si>
  <si>
    <t>09-HM-425-731</t>
  </si>
  <si>
    <t>1039 19th St</t>
  </si>
  <si>
    <t>MLK Brickstone Dev LP</t>
  </si>
  <si>
    <t>951 6th St SE</t>
  </si>
  <si>
    <t>Oak Hill Jackson Brickstone LP</t>
  </si>
  <si>
    <t>1430 Warren St</t>
  </si>
  <si>
    <t>Taylor Housing Parnters LLC</t>
  </si>
  <si>
    <t>1455 Oleson Rd</t>
  </si>
  <si>
    <t>Buckingham Management LLC</t>
  </si>
  <si>
    <t>Justin Few</t>
  </si>
  <si>
    <t>Preserve at Crossroads LP</t>
  </si>
  <si>
    <t>Daren Scott</t>
  </si>
  <si>
    <t>12207 Illinois Rd</t>
  </si>
  <si>
    <t>Fort Wayne</t>
  </si>
  <si>
    <t>dscott@thefortusgroup.com</t>
  </si>
  <si>
    <t>560 Brick Dr SE</t>
  </si>
  <si>
    <t>JNB Hometown Harbor Waukee LP</t>
  </si>
  <si>
    <t>919 S 16th St</t>
  </si>
  <si>
    <t>Velair Property Management</t>
  </si>
  <si>
    <t>Terry Parker</t>
  </si>
  <si>
    <t>Laverne Apts LP</t>
  </si>
  <si>
    <t>Chris Stokka</t>
  </si>
  <si>
    <t>7645 Lyndale Ave S</t>
  </si>
  <si>
    <t>chrisstokka@mwfproperties.com</t>
  </si>
  <si>
    <t>950 Johnson St Rd</t>
  </si>
  <si>
    <t>Westport Terrace Apartments, LP</t>
  </si>
  <si>
    <t>09-HM-430-731</t>
  </si>
  <si>
    <t>3025 Williams Pkwy SW</t>
  </si>
  <si>
    <t>Cedar Pond Townhomes LP</t>
  </si>
  <si>
    <t>3225 Pennsylvania Ave</t>
  </si>
  <si>
    <t>Horizon Management Services Inc</t>
  </si>
  <si>
    <t>Becky Hildebrandt</t>
  </si>
  <si>
    <t>5201 E Terrace Dr</t>
  </si>
  <si>
    <t>Ste 300</t>
  </si>
  <si>
    <t>b.hildebrandt@horizondbm.com</t>
  </si>
  <si>
    <t>450 Ashley Court</t>
  </si>
  <si>
    <t>RCA North Liberty Center, LP</t>
  </si>
  <si>
    <t>2306 Sherwood Dr</t>
  </si>
  <si>
    <t>The Rose of Council Bluffs LP</t>
  </si>
  <si>
    <t>2 SW 9th St</t>
  </si>
  <si>
    <t>YMCA Supportive Housing Campus</t>
  </si>
  <si>
    <t>Emily Osweiler</t>
  </si>
  <si>
    <t>Central Iowa Supportive Housing LLLP</t>
  </si>
  <si>
    <t>Leisha Barcus</t>
  </si>
  <si>
    <t>501 Grand Ave</t>
  </si>
  <si>
    <t>leisha.barcus@dmymca.org</t>
  </si>
  <si>
    <t>09-HM-253-731</t>
  </si>
  <si>
    <t>2160 Sugar Creek Dr NW</t>
  </si>
  <si>
    <t>Sugar Creek Bend LLLP</t>
  </si>
  <si>
    <t>09-HM-455-731</t>
  </si>
  <si>
    <t>5202 River Valley Rd</t>
  </si>
  <si>
    <t>Bluffs Apartments of Fort Madison LP</t>
  </si>
  <si>
    <t>Linda Thurmond</t>
  </si>
  <si>
    <t>666 Dundee Rd</t>
  </si>
  <si>
    <t>Ste 1102</t>
  </si>
  <si>
    <t>Northbrook</t>
  </si>
  <si>
    <t>lindat@brinshore.com</t>
  </si>
  <si>
    <t>09-HM-456-22</t>
  </si>
  <si>
    <t>402 5th St</t>
  </si>
  <si>
    <t>Meadows Apts of Nevada LLC</t>
  </si>
  <si>
    <t>09-HM-409-731</t>
  </si>
  <si>
    <t>1304 Oak St</t>
  </si>
  <si>
    <t>09-HM-412</t>
  </si>
  <si>
    <t>606 Parriott St</t>
  </si>
  <si>
    <t>Butler</t>
  </si>
  <si>
    <t>Rick Gibson</t>
  </si>
  <si>
    <t>PO Box 44</t>
  </si>
  <si>
    <t>Aplington</t>
  </si>
  <si>
    <t>rick.gibson@landuscooperative.com</t>
  </si>
  <si>
    <t>1441 Des Moines St</t>
  </si>
  <si>
    <t>East Des Moines Refi LLLP</t>
  </si>
  <si>
    <t>10-HM-411-731</t>
  </si>
  <si>
    <t>1900 SE 6th Ave</t>
  </si>
  <si>
    <t>South View Sr Apts II LLLP</t>
  </si>
  <si>
    <t>3600 E Douglas Ave</t>
  </si>
  <si>
    <t>Des Moines Leased Housing Associates X LP</t>
  </si>
  <si>
    <t>Paul Sween</t>
  </si>
  <si>
    <t>inspections@dominiuminc.com</t>
  </si>
  <si>
    <t>10-HM-414-721</t>
  </si>
  <si>
    <t>1050 Flammang Dr</t>
  </si>
  <si>
    <t>Legacy Waterloo LP</t>
  </si>
  <si>
    <t>Daniel Tonnesen</t>
  </si>
  <si>
    <t>630 N Church St</t>
  </si>
  <si>
    <t>Ste 101</t>
  </si>
  <si>
    <t>Rockford</t>
  </si>
  <si>
    <t>dtonnesen@anchor-group.org</t>
  </si>
  <si>
    <t>1632 E Hull Ave</t>
  </si>
  <si>
    <t>Des Moines Leased Housing Associates IX LP</t>
  </si>
  <si>
    <t>1264 Cummins Rd</t>
  </si>
  <si>
    <t>Des Moines Leased Housing Associates VIII LP</t>
  </si>
  <si>
    <t>rlunderby@dominiuminc.com</t>
  </si>
  <si>
    <t>2201 E Park Ave</t>
  </si>
  <si>
    <t>Des Moines Leased Housing Associates VII LP</t>
  </si>
  <si>
    <t>10-HM-422-721</t>
  </si>
  <si>
    <t>505 Army Post Rd</t>
  </si>
  <si>
    <t>Fort Des Moines Senior Housing LLLP</t>
  </si>
  <si>
    <t>Tom Akers</t>
  </si>
  <si>
    <t>129 Marlou Parkway</t>
  </si>
  <si>
    <t>akersholdingllc@hotmail.com</t>
  </si>
  <si>
    <t>10-HM-402-731</t>
  </si>
  <si>
    <t>1051 19th St</t>
  </si>
  <si>
    <t>MLK Brickstone II LP</t>
  </si>
  <si>
    <t>900 E 17th St</t>
  </si>
  <si>
    <t>Warren</t>
  </si>
  <si>
    <t>RD GN LLLP</t>
  </si>
  <si>
    <t>1800 S 4th Ave E</t>
  </si>
  <si>
    <t>Jasper</t>
  </si>
  <si>
    <t>Newbury Suncrest Village LLC</t>
  </si>
  <si>
    <t>10-HM-434-28</t>
  </si>
  <si>
    <t>428 Walker St</t>
  </si>
  <si>
    <t>Pryor Management LLC</t>
  </si>
  <si>
    <t>Aaron Pryor</t>
  </si>
  <si>
    <t>Walker Corners Limited Liability Company</t>
  </si>
  <si>
    <t>Woodbine</t>
  </si>
  <si>
    <t>noraaap@yahoo.com</t>
  </si>
  <si>
    <t>Substantial Rehabilitation</t>
  </si>
  <si>
    <t>1806 28th Ave SW</t>
  </si>
  <si>
    <t>MVAH Management LLC</t>
  </si>
  <si>
    <t>Katherine Vance</t>
  </si>
  <si>
    <t>Meadow Vista Sr Villas LLC</t>
  </si>
  <si>
    <t>Brian McGeady</t>
  </si>
  <si>
    <t>9100 Centre Pointe Dr</t>
  </si>
  <si>
    <t>Ste 210</t>
  </si>
  <si>
    <t>West Chester</t>
  </si>
  <si>
    <t>OH</t>
  </si>
  <si>
    <t>brian.mcgeady@mvahpartners.com</t>
  </si>
  <si>
    <t>2503 Cedar St</t>
  </si>
  <si>
    <t>Cedarbrooke Place I LLC</t>
  </si>
  <si>
    <t>209 W 5th St</t>
  </si>
  <si>
    <t>SA Russell Lamson Limited Partnership</t>
  </si>
  <si>
    <t>1300 SE Jacob Dr</t>
  </si>
  <si>
    <t>JNB Family Waukee LP</t>
  </si>
  <si>
    <t>10-HM-443-29</t>
  </si>
  <si>
    <t>3405 Woodland Ave</t>
  </si>
  <si>
    <t>Woodland West Associates LP</t>
  </si>
  <si>
    <t>1401 Wingate Dr</t>
  </si>
  <si>
    <t>3 Diamond Development</t>
  </si>
  <si>
    <t>Ben Porush</t>
  </si>
  <si>
    <t>6677 N Lincoln Ave</t>
  </si>
  <si>
    <t>Lincolnwood</t>
  </si>
  <si>
    <t>bporush@3diamonddevelopment.com</t>
  </si>
  <si>
    <t>2647 17th St SW</t>
  </si>
  <si>
    <t>Meadow Vista Parkside LLC</t>
  </si>
  <si>
    <t>340 SW 7th St</t>
  </si>
  <si>
    <t>Riverpoint Lofts, LLLP</t>
  </si>
  <si>
    <t>203 W Montgomery St</t>
  </si>
  <si>
    <t>Right Way Mgmt Services, LLC</t>
  </si>
  <si>
    <t>John Petersen</t>
  </si>
  <si>
    <t>Hotel Iowana LP</t>
  </si>
  <si>
    <t>224 Marion Dr</t>
  </si>
  <si>
    <t>Hardin</t>
  </si>
  <si>
    <t>Marion Manor Co Ltd.</t>
  </si>
  <si>
    <t>David Hill</t>
  </si>
  <si>
    <t>1255 Jordan Creek Pkwy</t>
  </si>
  <si>
    <t>dhill@freedomfinancialbank.com</t>
  </si>
  <si>
    <t>600 S 12th St</t>
  </si>
  <si>
    <t>RD Adel LLLP</t>
  </si>
  <si>
    <t>Paul Thoma</t>
  </si>
  <si>
    <t>9216 Bond St</t>
  </si>
  <si>
    <t>Overland Park</t>
  </si>
  <si>
    <t>KS</t>
  </si>
  <si>
    <t>paul.thoma@unitedresource.biz</t>
  </si>
  <si>
    <t>910 N Clayton</t>
  </si>
  <si>
    <t>RD CG LLLP</t>
  </si>
  <si>
    <t>1228 N Fremont</t>
  </si>
  <si>
    <t>2312 Valley St</t>
  </si>
  <si>
    <t>Greenway of Burlington Assoc LP</t>
  </si>
  <si>
    <t>Kimber Myers Givner</t>
  </si>
  <si>
    <t>3908 Washington St</t>
  </si>
  <si>
    <t>kgivner@phoenixfamily.org</t>
  </si>
  <si>
    <t>202 N Magnolia Dr</t>
  </si>
  <si>
    <t>Thunder Ridge Senior Apartments LLC</t>
  </si>
  <si>
    <t>401 Center Ave S</t>
  </si>
  <si>
    <t>1202 Palm Ave</t>
  </si>
  <si>
    <t>RD Mount Pleasant Park LLLP</t>
  </si>
  <si>
    <t>833 S 13th St</t>
  </si>
  <si>
    <t>RD Nevada, LLLP</t>
  </si>
  <si>
    <t>1313 Wright St</t>
  </si>
  <si>
    <t>RD Norwalk LLLP</t>
  </si>
  <si>
    <t>701 2nd St NW</t>
  </si>
  <si>
    <t>RD State Center LLLP</t>
  </si>
  <si>
    <t>1015 S Prospect Dr</t>
  </si>
  <si>
    <t>RD Toledo, LLLP</t>
  </si>
  <si>
    <t>919 Dye St</t>
  </si>
  <si>
    <t>Shelby</t>
  </si>
  <si>
    <t>Weigand-Omega Mgmt Inc</t>
  </si>
  <si>
    <t>Pat Lickiss</t>
  </si>
  <si>
    <t>FB Harlan LP</t>
  </si>
  <si>
    <t>Shawn Foutch</t>
  </si>
  <si>
    <t>PO Box 142</t>
  </si>
  <si>
    <t>Johnston</t>
  </si>
  <si>
    <t>shawn.foutch@jmae-11c.com</t>
  </si>
  <si>
    <t>10-HM-406-721</t>
  </si>
  <si>
    <t>5601 SW 9th St</t>
  </si>
  <si>
    <t>Christ the King Senior Housing, LLLP</t>
  </si>
  <si>
    <t>Sue Clark</t>
  </si>
  <si>
    <t>12345 University Ave</t>
  </si>
  <si>
    <t>Ste 312</t>
  </si>
  <si>
    <t>Clive</t>
  </si>
  <si>
    <t>sue@sueclarkrealestate.com</t>
  </si>
  <si>
    <t>5814 Northglenn Dr</t>
  </si>
  <si>
    <t>CAJC Cottages LLLP</t>
  </si>
  <si>
    <t>10-HM-105-22</t>
  </si>
  <si>
    <t>110 N Main St</t>
  </si>
  <si>
    <t>Sherry Bertsch</t>
  </si>
  <si>
    <t>ctycharmflowers@iowatelecom.net</t>
  </si>
  <si>
    <t>10-HM-212-21</t>
  </si>
  <si>
    <t>1302 S Grand Plaza Dr</t>
  </si>
  <si>
    <t>Upper Des Moines Opportunity Inc</t>
  </si>
  <si>
    <t>Jamey Whitney</t>
  </si>
  <si>
    <t>101 Robbins St</t>
  </si>
  <si>
    <t>PO Box 519</t>
  </si>
  <si>
    <t>Graettinger</t>
  </si>
  <si>
    <t>jwhitney@udmo.com</t>
  </si>
  <si>
    <t>10-HM-303-22400</t>
  </si>
  <si>
    <t>10-HM-303-22</t>
  </si>
  <si>
    <t>400 Jefferson St</t>
  </si>
  <si>
    <t>Wilson Rentals</t>
  </si>
  <si>
    <t>Dennis Wilson</t>
  </si>
  <si>
    <t>1700 River St</t>
  </si>
  <si>
    <t>denniswilson4@mchsi.com</t>
  </si>
  <si>
    <t>10-HM-303-22413</t>
  </si>
  <si>
    <t>413 Jefferson St</t>
  </si>
  <si>
    <t>David/Marcia Stiefel</t>
  </si>
  <si>
    <t>David/Marsha Steifel</t>
  </si>
  <si>
    <t>212 Crestview</t>
  </si>
  <si>
    <t>magstiefel@gmail.com</t>
  </si>
  <si>
    <t>10-HM-303-22510</t>
  </si>
  <si>
    <t>510 Jefferson St</t>
  </si>
  <si>
    <t>10-HM-303-22613</t>
  </si>
  <si>
    <t>613 Jefferson St</t>
  </si>
  <si>
    <t>Troy Lietsch</t>
  </si>
  <si>
    <t>Tony Lietsch</t>
  </si>
  <si>
    <t>1755 Pine St</t>
  </si>
  <si>
    <t>tlietsch@yahoo.com</t>
  </si>
  <si>
    <t>10-HM-311-29</t>
  </si>
  <si>
    <t>409 Ash St</t>
  </si>
  <si>
    <t>O'Brien</t>
  </si>
  <si>
    <t>Willoway Heights LLC</t>
  </si>
  <si>
    <t>Connie Cody</t>
  </si>
  <si>
    <t>Mark Cody</t>
  </si>
  <si>
    <t>Ste 15</t>
  </si>
  <si>
    <t>Sutherland</t>
  </si>
  <si>
    <t>willoway@midlands.net</t>
  </si>
  <si>
    <t>205 NE Hayes Dr</t>
  </si>
  <si>
    <t>Pedcor Investments-2011-CXXXVI, L.P.</t>
  </si>
  <si>
    <t>1350 A-Hearn Dr NE</t>
  </si>
  <si>
    <t>Legacy Cedar Rapids LP</t>
  </si>
  <si>
    <t>601 SE Dovetail</t>
  </si>
  <si>
    <t>Dovetail Family Housing LP</t>
  </si>
  <si>
    <t>2104 Forest</t>
  </si>
  <si>
    <t>6365 Merle Hay Rd</t>
  </si>
  <si>
    <t>Syncromatic Management, LLC</t>
  </si>
  <si>
    <t>Jenni Yeagley</t>
  </si>
  <si>
    <t>Cornerstone Commons LLC</t>
  </si>
  <si>
    <t>Kristi Morgan</t>
  </si>
  <si>
    <t>7447 University Ave</t>
  </si>
  <si>
    <t>Middleton</t>
  </si>
  <si>
    <t>morgan@miruspartners.com</t>
  </si>
  <si>
    <t>1420 W 16th St</t>
  </si>
  <si>
    <t>Jackson Housing Partners LLC</t>
  </si>
  <si>
    <t>2501 Mount Pleasant</t>
  </si>
  <si>
    <t>Millennia Housing Mgmt Ltd</t>
  </si>
  <si>
    <t>Connie Riley</t>
  </si>
  <si>
    <t>Robinson Heights Apartments I LP</t>
  </si>
  <si>
    <t>Frank Sinito</t>
  </si>
  <si>
    <t>1300 Key Tower</t>
  </si>
  <si>
    <t>127 Public Square</t>
  </si>
  <si>
    <t>Cleveland</t>
  </si>
  <si>
    <t>mhmoperations@mhmltd.com</t>
  </si>
  <si>
    <t>11-HT-342</t>
  </si>
  <si>
    <t>979 Oakridge Dr</t>
  </si>
  <si>
    <t>Silver Oaks Ventures LLP</t>
  </si>
  <si>
    <t>11-HT-346</t>
  </si>
  <si>
    <t>720 Foster Rd</t>
  </si>
  <si>
    <t>Corridor Woods Limited Partnership</t>
  </si>
  <si>
    <t>11-HT-349</t>
  </si>
  <si>
    <t>3600 SE 11th St</t>
  </si>
  <si>
    <t>Capitol City Duplexes LLLP</t>
  </si>
  <si>
    <t>3390 Lake Ridge Dr</t>
  </si>
  <si>
    <t>The Rose of Dubuque</t>
  </si>
  <si>
    <t>1440 Walnut St</t>
  </si>
  <si>
    <t>MDI Limited Partnership #86</t>
  </si>
  <si>
    <t>Larry Olson</t>
  </si>
  <si>
    <t>lolson@metroplains.com</t>
  </si>
  <si>
    <t>11-HT-358</t>
  </si>
  <si>
    <t>2400 S 19th St</t>
  </si>
  <si>
    <t>NP Dodge Management Company</t>
  </si>
  <si>
    <t>Charlotte J Neitzel</t>
  </si>
  <si>
    <t>Beacon Place Limited Partnership</t>
  </si>
  <si>
    <t>Leslie Coleman</t>
  </si>
  <si>
    <t>222 S 6th St</t>
  </si>
  <si>
    <t>lcoleman@nwhomesolutions.org</t>
  </si>
  <si>
    <t>11-HT-01RD</t>
  </si>
  <si>
    <t>125 9th St</t>
  </si>
  <si>
    <t>Louisa</t>
  </si>
  <si>
    <t>125 9th Street LLLP</t>
  </si>
  <si>
    <t>Doug LaBounty</t>
  </si>
  <si>
    <t>dougl@chihousing.com</t>
  </si>
  <si>
    <t>10-HM-421-731</t>
  </si>
  <si>
    <t>1710 High St</t>
  </si>
  <si>
    <t>Olive Street Brickstones LLC</t>
  </si>
  <si>
    <t>11-HT-409</t>
  </si>
  <si>
    <t>1160 Martin Luther King Pkwy</t>
  </si>
  <si>
    <t>Greystone Homes Development LP</t>
  </si>
  <si>
    <t>11-HM-204</t>
  </si>
  <si>
    <t>230 Elizabeth St</t>
  </si>
  <si>
    <t>11-HM-407</t>
  </si>
  <si>
    <t>403 Independence Ave</t>
  </si>
  <si>
    <t>Howard</t>
  </si>
  <si>
    <t>Liberty Ridge, LLC</t>
  </si>
  <si>
    <t>Deanna Eastman</t>
  </si>
  <si>
    <t>3178 430th St</t>
  </si>
  <si>
    <t>Riceville</t>
  </si>
  <si>
    <t>skeastman@myomnitel.com</t>
  </si>
  <si>
    <t>11-HM-408</t>
  </si>
  <si>
    <t>1305 Oak Court Dr</t>
  </si>
  <si>
    <t>1120 SE 11th St</t>
  </si>
  <si>
    <t>Meadowlark PLace I LLLP</t>
  </si>
  <si>
    <t>Melbourne Apartments II LLLP</t>
  </si>
  <si>
    <t>4560 Hubbell Ave</t>
  </si>
  <si>
    <t>McKinley Crest LLLP</t>
  </si>
  <si>
    <t>2 N 2nd Ave</t>
  </si>
  <si>
    <t>Historic Tallcorn Towers LLLP</t>
  </si>
  <si>
    <t>1000 W Adams St</t>
  </si>
  <si>
    <t>Greene</t>
  </si>
  <si>
    <t>Walton Woods Limited Partnership</t>
  </si>
  <si>
    <t>4111 Ingersoll Ave</t>
  </si>
  <si>
    <t>Plymouth Place Associates, LP</t>
  </si>
  <si>
    <t>David Nelson</t>
  </si>
  <si>
    <t>dnelson@nelsonequity.com</t>
  </si>
  <si>
    <t>ROSE Program</t>
  </si>
  <si>
    <t>2800 SE 8th St</t>
  </si>
  <si>
    <t>Southern Meadows Homes LP</t>
  </si>
  <si>
    <t>610 Central Ave</t>
  </si>
  <si>
    <t>Ryan Huffman</t>
  </si>
  <si>
    <t>Affordable Housing Partners Fund 35 LLC</t>
  </si>
  <si>
    <t>James Danaher</t>
  </si>
  <si>
    <t>1708 S Main St</t>
  </si>
  <si>
    <t>cbcfinancials@gmail.com</t>
  </si>
  <si>
    <t>55 Cobblestone Lane</t>
  </si>
  <si>
    <t>JNB Pebble Creek Villas L.P.</t>
  </si>
  <si>
    <t>12-HT-433</t>
  </si>
  <si>
    <t>430 Grand Ave</t>
  </si>
  <si>
    <t>EMM Associates LP</t>
  </si>
  <si>
    <t>Baker Creek Senior Living LLLP</t>
  </si>
  <si>
    <t>BJ Baker</t>
  </si>
  <si>
    <t>1600 SE Corporate Woods Dr</t>
  </si>
  <si>
    <t>Ankeny</t>
  </si>
  <si>
    <t>bakerb@thebakergroup.com</t>
  </si>
  <si>
    <t>705 E 6th St</t>
  </si>
  <si>
    <t>CHI Sioux City LLLP</t>
  </si>
  <si>
    <t>1420 Harrison St</t>
  </si>
  <si>
    <t>Harrison Lofts Limited Partnership</t>
  </si>
  <si>
    <t>12-HT-02RD</t>
  </si>
  <si>
    <t>220 Valley Dr</t>
  </si>
  <si>
    <t>LPC 2013 Rehab Associates LP</t>
  </si>
  <si>
    <t>301 5th St</t>
  </si>
  <si>
    <t>12-HT-03RD</t>
  </si>
  <si>
    <t>103 Boyer View</t>
  </si>
  <si>
    <t>Park Avenue Management</t>
  </si>
  <si>
    <t>Nikki Nieman</t>
  </si>
  <si>
    <t>Logan 24 LP</t>
  </si>
  <si>
    <t>Julie Nylen</t>
  </si>
  <si>
    <t>PO Box 14350</t>
  </si>
  <si>
    <t>Scottsdale</t>
  </si>
  <si>
    <t>jnylen@landmarkarizona.com</t>
  </si>
  <si>
    <t>3310 9th St SW</t>
  </si>
  <si>
    <t>Legacy Mason City LP</t>
  </si>
  <si>
    <t>12-HT-408</t>
  </si>
  <si>
    <t>1155 14th Ave NW</t>
  </si>
  <si>
    <t>West Heights Townhomes LLLP</t>
  </si>
  <si>
    <t>12AUG-HM-323</t>
  </si>
  <si>
    <t>405 E 14th Ct</t>
  </si>
  <si>
    <t>Commonbond Communities</t>
  </si>
  <si>
    <t>12AUG-HM-326</t>
  </si>
  <si>
    <t>1403 5th Ave SE</t>
  </si>
  <si>
    <t>12AUG-HM-335</t>
  </si>
  <si>
    <t>1811 6th Ave</t>
  </si>
  <si>
    <t>Goldfinch Property Management</t>
  </si>
  <si>
    <t>Kate Ridge</t>
  </si>
  <si>
    <t>Casselli Holdings Inc</t>
  </si>
  <si>
    <t>Julian Caselli</t>
  </si>
  <si>
    <t>2800 University Ave</t>
  </si>
  <si>
    <t>Ste 122</t>
  </si>
  <si>
    <t>j.caselli67@gmail.com</t>
  </si>
  <si>
    <t>96-HM-423-731</t>
  </si>
  <si>
    <t>674 Terrace Park Blvd</t>
  </si>
  <si>
    <t>CHI Milford LLLP</t>
  </si>
  <si>
    <t>3724 Hubbell Ave</t>
  </si>
  <si>
    <t>95-HM-411-711</t>
  </si>
  <si>
    <t>1440 E Grand Ave</t>
  </si>
  <si>
    <t>Bloomsbury Associates LLLP</t>
  </si>
  <si>
    <t>3720 Hubbell Ave</t>
  </si>
  <si>
    <t>4282 E 50th St</t>
  </si>
  <si>
    <t>Broadway Heights Apartments I LLLP</t>
  </si>
  <si>
    <t>Melbourne Apartments III LLLP</t>
  </si>
  <si>
    <t>1135 W 16th St</t>
  </si>
  <si>
    <t>Mill Farm Partners LLC</t>
  </si>
  <si>
    <t>Pat Beatty</t>
  </si>
  <si>
    <t>254 N Santa Fe</t>
  </si>
  <si>
    <t>Salina</t>
  </si>
  <si>
    <t>pat@ovpgroup.com</t>
  </si>
  <si>
    <t>1500 Seneca</t>
  </si>
  <si>
    <t>Storm Lake Affordable Partners LLC</t>
  </si>
  <si>
    <t>255 SE Brick Dr</t>
  </si>
  <si>
    <t>Alice Place LP</t>
  </si>
  <si>
    <t>555 5th Ave</t>
  </si>
  <si>
    <t>LT Associates LP</t>
  </si>
  <si>
    <t>1101 Ontario St</t>
  </si>
  <si>
    <t>Lloyd Management Inc</t>
  </si>
  <si>
    <t>Sarah Collins</t>
  </si>
  <si>
    <t>10th St Townhomes LLP</t>
  </si>
  <si>
    <t>Kristie Blankenship</t>
  </si>
  <si>
    <t>2401 Broadway Ave</t>
  </si>
  <si>
    <t>Slayton</t>
  </si>
  <si>
    <t>kristieb@swmhp.org</t>
  </si>
  <si>
    <t>13-HT-433</t>
  </si>
  <si>
    <t>222 N 4th Ave W</t>
  </si>
  <si>
    <t>Newton Senior Residence LLC</t>
  </si>
  <si>
    <t>13-HT-01RD</t>
  </si>
  <si>
    <t>820 Springer Ave</t>
  </si>
  <si>
    <t>CHI Sheldon LLLP</t>
  </si>
  <si>
    <t>14 West 21st Street PO Box 473</t>
  </si>
  <si>
    <t>13-HT-02RD</t>
  </si>
  <si>
    <t>125 Cathedral Oaks Rd</t>
  </si>
  <si>
    <t>Winnebago</t>
  </si>
  <si>
    <t>94-HM-404-731</t>
  </si>
  <si>
    <t>1011 16th St</t>
  </si>
  <si>
    <t>201 E Main St</t>
  </si>
  <si>
    <t>Marshalltown Senior Residences LLC</t>
  </si>
  <si>
    <t>Angela Morehead</t>
  </si>
  <si>
    <t>8500 Shawnee Mission Pkwy</t>
  </si>
  <si>
    <t>Merriam</t>
  </si>
  <si>
    <t>amorehead@preservingus.org</t>
  </si>
  <si>
    <t>13-HM-306</t>
  </si>
  <si>
    <t>1418 4th Ave SE</t>
  </si>
  <si>
    <t>13-HM-317</t>
  </si>
  <si>
    <t>3320 W 42nd St</t>
  </si>
  <si>
    <t>13-HM-371</t>
  </si>
  <si>
    <t>1407 3rd Ave SE</t>
  </si>
  <si>
    <t>13AUG-HM-398</t>
  </si>
  <si>
    <t>1417 3rd Ave SE</t>
  </si>
  <si>
    <t>14-HT-401</t>
  </si>
  <si>
    <t>1106 4th St</t>
  </si>
  <si>
    <t>Call Terminal II LP</t>
  </si>
  <si>
    <t>904 W Harrison</t>
  </si>
  <si>
    <t>RD Fairfield LLLP</t>
  </si>
  <si>
    <t>606 W Monroe</t>
  </si>
  <si>
    <t>RD Fairfield II LLLP</t>
  </si>
  <si>
    <t>1601 Redwood Dr</t>
  </si>
  <si>
    <t>Cass</t>
  </si>
  <si>
    <t>RD Atlantic, LLLP</t>
  </si>
  <si>
    <t>14-HT-415</t>
  </si>
  <si>
    <t>3300 9th St SW</t>
  </si>
  <si>
    <t>Legacy Mason City II LP</t>
  </si>
  <si>
    <t>14-HT-402</t>
  </si>
  <si>
    <t>802 14th St SE</t>
  </si>
  <si>
    <t>Sioux</t>
  </si>
  <si>
    <t>Excel Development Group</t>
  </si>
  <si>
    <t>Joel Anderson</t>
  </si>
  <si>
    <t>Prairie Heights LLC</t>
  </si>
  <si>
    <t>Brent Williams</t>
  </si>
  <si>
    <t>8551 Lexington Ave</t>
  </si>
  <si>
    <t>brent@exceldg.com</t>
  </si>
  <si>
    <t>600 2nd St SW</t>
  </si>
  <si>
    <t>Sand Property Management, LLC</t>
  </si>
  <si>
    <t>Renee Retterath</t>
  </si>
  <si>
    <t>Kingston Village LLC</t>
  </si>
  <si>
    <t>Jamie Thelen</t>
  </si>
  <si>
    <t>366 S Tenth Ave</t>
  </si>
  <si>
    <t>PO Box 727</t>
  </si>
  <si>
    <t>Waite Park</t>
  </si>
  <si>
    <t>jjthelen@sandcompanies.com</t>
  </si>
  <si>
    <t>14-HT-428</t>
  </si>
  <si>
    <t>1110 N 10th St</t>
  </si>
  <si>
    <t>Crawford</t>
  </si>
  <si>
    <t>Laborers' Home Development Corporation</t>
  </si>
  <si>
    <t>Jessika Floyd</t>
  </si>
  <si>
    <t>Hilldale Estates Affordable Housing Limited Partne</t>
  </si>
  <si>
    <t>Jayne Lourash</t>
  </si>
  <si>
    <t>2201 Eastland Dr</t>
  </si>
  <si>
    <t>Ste 4</t>
  </si>
  <si>
    <t>Bloomington</t>
  </si>
  <si>
    <t>jlourash@laborershdc.org</t>
  </si>
  <si>
    <t>14-HT-430</t>
  </si>
  <si>
    <t>600 W Tyler</t>
  </si>
  <si>
    <t>Washington</t>
  </si>
  <si>
    <t>Briarwood Partners LLC</t>
  </si>
  <si>
    <t>1302 High Ave W</t>
  </si>
  <si>
    <t>Ironwood Partners LLC</t>
  </si>
  <si>
    <t>500 Sycamore St</t>
  </si>
  <si>
    <t>ACC Management, Inc.</t>
  </si>
  <si>
    <t>Chris Hand</t>
  </si>
  <si>
    <t>Hotel President Partners LP</t>
  </si>
  <si>
    <t>Joshua Latter</t>
  </si>
  <si>
    <t>5200 W Century Blvd</t>
  </si>
  <si>
    <t>Ste 256</t>
  </si>
  <si>
    <t>Los Angeles</t>
  </si>
  <si>
    <t>josh@hwdevllc.com</t>
  </si>
  <si>
    <t>2110 Madelyn Dr</t>
  </si>
  <si>
    <t>JNB Villas at Fox Pointe</t>
  </si>
  <si>
    <t>14-HT-437</t>
  </si>
  <si>
    <t>707 14th St</t>
  </si>
  <si>
    <t>United Manor Associates L.P.</t>
  </si>
  <si>
    <t>Bill Andersen</t>
  </si>
  <si>
    <t>DeWitt</t>
  </si>
  <si>
    <t>bandresen5321@gmail.com</t>
  </si>
  <si>
    <t>827 Spring St</t>
  </si>
  <si>
    <t>Poweshiek</t>
  </si>
  <si>
    <t>Spaulding Lofts East I LLLP</t>
  </si>
  <si>
    <t>1400 2nd Ave SE</t>
  </si>
  <si>
    <t>Chastity Sadowy</t>
  </si>
  <si>
    <t>Commonwealth Senior Apartments LP</t>
  </si>
  <si>
    <t>Tony Knoble</t>
  </si>
  <si>
    <t>333 N Pennsylvania St</t>
  </si>
  <si>
    <t>tony@twgdev.com</t>
  </si>
  <si>
    <t>14-HM-362</t>
  </si>
  <si>
    <t>123 Pacific St</t>
  </si>
  <si>
    <t>Allamakee</t>
  </si>
  <si>
    <t>Acquisition &amp; New Construction</t>
  </si>
  <si>
    <t>14JUL-HM-923</t>
  </si>
  <si>
    <t>4812 E Court St</t>
  </si>
  <si>
    <t>Acquisition only</t>
  </si>
  <si>
    <t>14JUL-HM-924</t>
  </si>
  <si>
    <t>310 Commercial St</t>
  </si>
  <si>
    <t>Clayton</t>
  </si>
  <si>
    <t>15-HT-401</t>
  </si>
  <si>
    <t>902 13th St SW</t>
  </si>
  <si>
    <t>Southern Pointe LLLP</t>
  </si>
  <si>
    <t>755 NE 56th St</t>
  </si>
  <si>
    <t>Canterbury Heights Limited Partnership</t>
  </si>
  <si>
    <t>2455 MLK Jr Pkwy</t>
  </si>
  <si>
    <t>Teresa Dixon</t>
  </si>
  <si>
    <t>MLK Crossing Senior Apartments LLLP</t>
  </si>
  <si>
    <t>830 Blairs Ferry Rd NE</t>
  </si>
  <si>
    <t>Blairs Ferry Senior Apartments LP</t>
  </si>
  <si>
    <t>15-HT-416</t>
  </si>
  <si>
    <t>1362 Blairs Ferry Rd</t>
  </si>
  <si>
    <t>Full Circle Management, LLC</t>
  </si>
  <si>
    <t>Corina Pitsenbarger</t>
  </si>
  <si>
    <t>Arbor Marion Limited Partnership</t>
  </si>
  <si>
    <t>Joshua Wilmoth</t>
  </si>
  <si>
    <t>310 S Peoria</t>
  </si>
  <si>
    <t>Ste 500</t>
  </si>
  <si>
    <t>jwilmoth@fccommunities.org</t>
  </si>
  <si>
    <t>15-HT-417</t>
  </si>
  <si>
    <t>2023 Willis Ave</t>
  </si>
  <si>
    <t>Hamlin Bell Associates LP</t>
  </si>
  <si>
    <t>913 Willis Ave</t>
  </si>
  <si>
    <t>Willis Avenue Apartments LLC</t>
  </si>
  <si>
    <t>S.R. Mills</t>
  </si>
  <si>
    <t>4011 80th St</t>
  </si>
  <si>
    <t>Kenosha</t>
  </si>
  <si>
    <t>smills@beardevelopment.com</t>
  </si>
  <si>
    <t>15-HT-419</t>
  </si>
  <si>
    <t>421 N Main St</t>
  </si>
  <si>
    <t>Appanoose</t>
  </si>
  <si>
    <t>Centerville Senior Lofts LLC</t>
  </si>
  <si>
    <t>15-HT-420</t>
  </si>
  <si>
    <t>925 Main St</t>
  </si>
  <si>
    <t>Keokuk Senior Lofts LLC</t>
  </si>
  <si>
    <t>695 E Army Post Rd</t>
  </si>
  <si>
    <t>Southridge Senior Lofts LLC</t>
  </si>
  <si>
    <t>6840 Chaffee Rd</t>
  </si>
  <si>
    <t>Jessica Galvez</t>
  </si>
  <si>
    <t>FDM Development Partnership LLLP</t>
  </si>
  <si>
    <t>David Shafer</t>
  </si>
  <si>
    <t>17782 Sky Park Cir</t>
  </si>
  <si>
    <t>Irvine</t>
  </si>
  <si>
    <t>dshafer@wncinc.com</t>
  </si>
  <si>
    <t>Conversion Acquisition &amp; Rehab</t>
  </si>
  <si>
    <t>2130 Emerald Dr</t>
  </si>
  <si>
    <t>Davenport MAHC LLLP</t>
  </si>
  <si>
    <t>Jeff Huggett</t>
  </si>
  <si>
    <t>jen.brewerton@dominiuminc.com</t>
  </si>
  <si>
    <t>625 W 4th St</t>
  </si>
  <si>
    <t>MWF IA3 Limited Partnership</t>
  </si>
  <si>
    <t>15-HT-404</t>
  </si>
  <si>
    <t>1612 3rd St</t>
  </si>
  <si>
    <t>Goldfinch Grove LLC</t>
  </si>
  <si>
    <t>15-HM-306</t>
  </si>
  <si>
    <t>811 Washington Ave</t>
  </si>
  <si>
    <t>15-HM-384</t>
  </si>
  <si>
    <t>1315 N 8th Ave</t>
  </si>
  <si>
    <t>North Stone Apartments LLC</t>
  </si>
  <si>
    <t>Peter Corkrean</t>
  </si>
  <si>
    <t>65 Jefferson St</t>
  </si>
  <si>
    <t>Winterset</t>
  </si>
  <si>
    <t>petercorkrean@yahoo.com</t>
  </si>
  <si>
    <t>15-HM-388</t>
  </si>
  <si>
    <t>1507 8th St</t>
  </si>
  <si>
    <t>Casalina Chateau</t>
  </si>
  <si>
    <t>La Toya Guevara</t>
  </si>
  <si>
    <t>PO Box 7665</t>
  </si>
  <si>
    <t>Urbandale</t>
  </si>
  <si>
    <t>guevaral@capaxinfiniti.org</t>
  </si>
  <si>
    <t>3275 Pennsylvania Ave</t>
  </si>
  <si>
    <t>38 Pearl St</t>
  </si>
  <si>
    <t>Knudson Management Company</t>
  </si>
  <si>
    <t>Deanne Buffington</t>
  </si>
  <si>
    <t>The Chieftain LLC</t>
  </si>
  <si>
    <t>Christie Johnsen</t>
  </si>
  <si>
    <t>29 S Main St</t>
  </si>
  <si>
    <t>cjohnsen@knudsoncompany.com</t>
  </si>
  <si>
    <t>710 S Ankeny Blvd</t>
  </si>
  <si>
    <t>Wilhoit Properties Inc.</t>
  </si>
  <si>
    <t>Michelle Gardner</t>
  </si>
  <si>
    <t>Villas at Meadow Springs LP</t>
  </si>
  <si>
    <t>Vaughn Zimmerman</t>
  </si>
  <si>
    <t>1329 E Lark St</t>
  </si>
  <si>
    <t>Springfield</t>
  </si>
  <si>
    <t>vzimmerman@wilhoitproperties.com</t>
  </si>
  <si>
    <t>513 Forest Ave</t>
  </si>
  <si>
    <t>Brickstones at Riverbend LLLP</t>
  </si>
  <si>
    <t>1716 Bandag Ave</t>
  </si>
  <si>
    <t>Harrison Lofts LLC</t>
  </si>
  <si>
    <t>1011 University Ave</t>
  </si>
  <si>
    <t>Corinthian Gardens Associates L.P.</t>
  </si>
  <si>
    <t>Sarai Schnucker-Rice</t>
  </si>
  <si>
    <t>sarai.ann.rice@gmail.com</t>
  </si>
  <si>
    <t>915 20th Ave</t>
  </si>
  <si>
    <t>Coral Ridge LLC</t>
  </si>
  <si>
    <t>1030 William St</t>
  </si>
  <si>
    <t>Iowa City Senior Apartments L. P.</t>
  </si>
  <si>
    <t>420 S 4th St</t>
  </si>
  <si>
    <t>Steamboat Burlington Limited Partnership</t>
  </si>
  <si>
    <t>Arthur Krauer</t>
  </si>
  <si>
    <t>4000 Key Tower</t>
  </si>
  <si>
    <t>akrauer@mhmltd.com</t>
  </si>
  <si>
    <t>238 4th Ave N</t>
  </si>
  <si>
    <t>4th Avenue Lofts LLC</t>
  </si>
  <si>
    <t>1200 Edgewood Rd NW</t>
  </si>
  <si>
    <t>CB Cedar Rapids Housing LLLP</t>
  </si>
  <si>
    <t>1635 6th Ave</t>
  </si>
  <si>
    <t>Legacy Park, LLLP</t>
  </si>
  <si>
    <t>16-35A</t>
  </si>
  <si>
    <t>16-HM-1122</t>
  </si>
  <si>
    <t>104 Adams Ct</t>
  </si>
  <si>
    <t>16-HM-924</t>
  </si>
  <si>
    <t>2607 Blazing Star Dr</t>
  </si>
  <si>
    <t>2200 Court St</t>
  </si>
  <si>
    <t>Court View LP</t>
  </si>
  <si>
    <t>201 1st St SE</t>
  </si>
  <si>
    <t>Cohen-Esrey Communities LLC</t>
  </si>
  <si>
    <t>Waverly Historic Lofts LLC</t>
  </si>
  <si>
    <t>Jon Atlas</t>
  </si>
  <si>
    <t>6800 W 64th St</t>
  </si>
  <si>
    <t>jatlas@cohenesrey.com</t>
  </si>
  <si>
    <t>1121 Jackson St</t>
  </si>
  <si>
    <t>Ron Price</t>
  </si>
  <si>
    <t>The Aberdeen Apartments LLC</t>
  </si>
  <si>
    <t>Darin Smith</t>
  </si>
  <si>
    <t>509 Walker St</t>
  </si>
  <si>
    <t>dsmith@arch-icon.com</t>
  </si>
  <si>
    <t>4415 SE 14th St</t>
  </si>
  <si>
    <t>Libertad Des Moines LLC</t>
  </si>
  <si>
    <t>305 W Commercial St</t>
  </si>
  <si>
    <t>rick@vecinogroup.com</t>
  </si>
  <si>
    <t>214 7th AveSW</t>
  </si>
  <si>
    <t>Kingston Family Apartments L.L.L.P.</t>
  </si>
  <si>
    <t>539 W 4th St</t>
  </si>
  <si>
    <t>Washington Apartments L.L.L.P.</t>
  </si>
  <si>
    <t>1704 Hawkeye Dr</t>
  </si>
  <si>
    <t>JNB Senior 1 LP</t>
  </si>
  <si>
    <t>2222 Queen St</t>
  </si>
  <si>
    <t>Marquette Hall LLC</t>
  </si>
  <si>
    <t>5650 Muirfield Dr SW</t>
  </si>
  <si>
    <t>Sonoma Square Partners LP</t>
  </si>
  <si>
    <t>Darryl High</t>
  </si>
  <si>
    <t>211 1st Ave SE</t>
  </si>
  <si>
    <t>darrylh@highdevelopment.com</t>
  </si>
  <si>
    <t>1225 Jacolyn Dr SW</t>
  </si>
  <si>
    <t>Cypress Lofts LLC</t>
  </si>
  <si>
    <t>180 W 15th</t>
  </si>
  <si>
    <t>Malissa Rainey</t>
  </si>
  <si>
    <t>Fifteenth Street Apartments Limited Partnership</t>
  </si>
  <si>
    <t>Lindsey Haines</t>
  </si>
  <si>
    <t>310 S Peoria St</t>
  </si>
  <si>
    <t>lhaines@fccommunities.org</t>
  </si>
  <si>
    <t>2626 Bartelt Rd</t>
  </si>
  <si>
    <t>Iowa City Leased Housing Associates III LLLP</t>
  </si>
  <si>
    <t>Jen Brewereton</t>
  </si>
  <si>
    <t>510 W Mills St</t>
  </si>
  <si>
    <t>National Affordable Housing Foundation</t>
  </si>
  <si>
    <t>3201 Renner Dr</t>
  </si>
  <si>
    <t>Council Bluffs Leased Housing Associates I, LLLP</t>
  </si>
  <si>
    <t>Ryan Lunderby</t>
  </si>
  <si>
    <t>17-NHTF-1285</t>
  </si>
  <si>
    <t>820 Cross Park Ave</t>
  </si>
  <si>
    <t>Shelter House Community Shelter &amp; Trans Services</t>
  </si>
  <si>
    <t>Crissy Canganelli</t>
  </si>
  <si>
    <t>PO Box 3146</t>
  </si>
  <si>
    <t>crissy@shelterhouseiowa.org</t>
  </si>
  <si>
    <t>Penn Oaks</t>
  </si>
  <si>
    <t>10 Penn Oaks Dr</t>
  </si>
  <si>
    <t>CHI Penn Oaks, LLP</t>
  </si>
  <si>
    <t>1314 W 3rd St</t>
  </si>
  <si>
    <t>Charlotte Neitzel</t>
  </si>
  <si>
    <t>1314 W 3rd LLC</t>
  </si>
  <si>
    <t>875 SE Gateway Dr</t>
  </si>
  <si>
    <t>Urban Crossing Apartments L.L.L.P.</t>
  </si>
  <si>
    <t>tim@ctdevelopmentiowa.com</t>
  </si>
  <si>
    <t>105 N 2nd Ave East</t>
  </si>
  <si>
    <t>Hotel Maytag Investors LLC</t>
  </si>
  <si>
    <t>Jack Hatch</t>
  </si>
  <si>
    <t>jack@hatchdevelopment.com</t>
  </si>
  <si>
    <t>8925 Cascade Ave</t>
  </si>
  <si>
    <t>Hayes Gibson Property Services, LLC</t>
  </si>
  <si>
    <t>Carson Hayes</t>
  </si>
  <si>
    <t>Elevate At Jordan Creek, LP</t>
  </si>
  <si>
    <t>Terrence Keusch</t>
  </si>
  <si>
    <t>1051 Greenwood Springs Blvd</t>
  </si>
  <si>
    <t>Greenwood</t>
  </si>
  <si>
    <t>tjkeusch@gmail.com</t>
  </si>
  <si>
    <t>751 Second Ave S</t>
  </si>
  <si>
    <t>The Washington LLC</t>
  </si>
  <si>
    <t>7152 Eldorado Points</t>
  </si>
  <si>
    <t>620 Sunrise Ct</t>
  </si>
  <si>
    <t>KarTay Apartment Management</t>
  </si>
  <si>
    <t>Brenda Nabholz</t>
  </si>
  <si>
    <t>Don Dufoe LP</t>
  </si>
  <si>
    <t>Don Dufoe</t>
  </si>
  <si>
    <t>708 Maplewood Dr</t>
  </si>
  <si>
    <t>PO Box 344</t>
  </si>
  <si>
    <t>Center Point</t>
  </si>
  <si>
    <t>Williamsburg</t>
  </si>
  <si>
    <t>Murphy Realty &amp; Management Inc</t>
  </si>
  <si>
    <t>Michael Murphy</t>
  </si>
  <si>
    <t>Charles R Kelly</t>
  </si>
  <si>
    <t>36 N Lawler St</t>
  </si>
  <si>
    <t>PO Box 550</t>
  </si>
  <si>
    <t>Postville</t>
  </si>
  <si>
    <t>221 E McKinley</t>
  </si>
  <si>
    <t>Metro Property Management</t>
  </si>
  <si>
    <t>Mike Boge</t>
  </si>
  <si>
    <t>Kenwood Apartments LLC</t>
  </si>
  <si>
    <t>2769 86th St</t>
  </si>
  <si>
    <t>mboge@metrorealtymgmt.com</t>
  </si>
  <si>
    <t>200 12th Ave NW</t>
  </si>
  <si>
    <t>Franklin</t>
  </si>
  <si>
    <t>Hampton Iowa Housing Associates LP</t>
  </si>
  <si>
    <t>907 Sixth St NW</t>
  </si>
  <si>
    <t>Waverly Iowa Housing Associates LP</t>
  </si>
  <si>
    <t>910 Fairview</t>
  </si>
  <si>
    <t>Viking Village Company LP</t>
  </si>
  <si>
    <t>918 17th St</t>
  </si>
  <si>
    <t>Norwalk Park Apartments Limited Partnership</t>
  </si>
  <si>
    <t>206 Harrison Ct</t>
  </si>
  <si>
    <t>Baxter Park Apartments LP</t>
  </si>
  <si>
    <t>1505 N Franklin</t>
  </si>
  <si>
    <t>Delaware</t>
  </si>
  <si>
    <t>Manchester Park LP</t>
  </si>
  <si>
    <t>240 SW James</t>
  </si>
  <si>
    <t>Grimes Park I Limited Partnership</t>
  </si>
  <si>
    <t>820 18th St</t>
  </si>
  <si>
    <t>Candleridge VII LLC</t>
  </si>
  <si>
    <t>711 1st St NE</t>
  </si>
  <si>
    <t>North Star W H LP #2</t>
  </si>
  <si>
    <t>MW Hart</t>
  </si>
  <si>
    <t>2007 24th Ave W</t>
  </si>
  <si>
    <t>lessthanpar@hotmail.com</t>
  </si>
  <si>
    <t>515 Boyden St</t>
  </si>
  <si>
    <t>900 Spruce St</t>
  </si>
  <si>
    <t>Montrose Senior Apartments LP</t>
  </si>
  <si>
    <t>James M Threatt</t>
  </si>
  <si>
    <t>929 Walnut St</t>
  </si>
  <si>
    <t>Ste 4101</t>
  </si>
  <si>
    <t>jmt@jmt-llc.com</t>
  </si>
  <si>
    <t>18 SE Kenyon</t>
  </si>
  <si>
    <t>HouseBuyers LLC</t>
  </si>
  <si>
    <t>Tom Roth</t>
  </si>
  <si>
    <t>4207 SW 9th</t>
  </si>
  <si>
    <t>houses@rothhomesdsm.com</t>
  </si>
  <si>
    <t>12 SE Kenyon</t>
  </si>
  <si>
    <t>104 Iowa St</t>
  </si>
  <si>
    <t>Eastgate Apartments LP</t>
  </si>
  <si>
    <t>Dave Iverson</t>
  </si>
  <si>
    <t>516 E Iowa St</t>
  </si>
  <si>
    <t>dmicpa@dkarndtcpa.net</t>
  </si>
  <si>
    <t>621 Ayers St</t>
  </si>
  <si>
    <t>Clarke</t>
  </si>
  <si>
    <t>Fairway Management Inc</t>
  </si>
  <si>
    <t>Ryan Stevens</t>
  </si>
  <si>
    <t>Osceola Estates LP</t>
  </si>
  <si>
    <t>206 Peach Way</t>
  </si>
  <si>
    <t>Columbia</t>
  </si>
  <si>
    <t>rstevens@fairwaymanagement.com</t>
  </si>
  <si>
    <t>844 12th Ave</t>
  </si>
  <si>
    <t>Calhoun</t>
  </si>
  <si>
    <t>Craig &amp; Luann Nekvinda</t>
  </si>
  <si>
    <t>Craig Nekvinda</t>
  </si>
  <si>
    <t>342 Country Club Dr</t>
  </si>
  <si>
    <t>lnekvinda@aol.com</t>
  </si>
  <si>
    <t>212 N State St</t>
  </si>
  <si>
    <t>Palo Alto</t>
  </si>
  <si>
    <t>Northwest CPH, LLC</t>
  </si>
  <si>
    <t>483 Loras Blvd</t>
  </si>
  <si>
    <t>Genesis Two Mgmt Inc</t>
  </si>
  <si>
    <t>Margie White</t>
  </si>
  <si>
    <t>Exodus Two Holdings LLC</t>
  </si>
  <si>
    <t>3197 Highland Park Dr</t>
  </si>
  <si>
    <t>r2m1white@aol.com</t>
  </si>
  <si>
    <t>105 Ludland Dr</t>
  </si>
  <si>
    <t>Joe Koopman</t>
  </si>
  <si>
    <t>401 NE Delaware</t>
  </si>
  <si>
    <t>BH Management</t>
  </si>
  <si>
    <t>Abby Alexander</t>
  </si>
  <si>
    <t>Ashbrooke Iowa Partners, LLC</t>
  </si>
  <si>
    <t>Kirby Gunnerson</t>
  </si>
  <si>
    <t>400 Locust St</t>
  </si>
  <si>
    <t>Ste 790</t>
  </si>
  <si>
    <t>kgunnerson@bhmanagement.com</t>
  </si>
  <si>
    <t>1207 Maplewood Dr</t>
  </si>
  <si>
    <t>Carri Schwartz</t>
  </si>
  <si>
    <t>College Square Partners LP</t>
  </si>
  <si>
    <t>Angie Lloyd</t>
  </si>
  <si>
    <t>alloyd@bhmanagement.com</t>
  </si>
  <si>
    <t>608 Brown St</t>
  </si>
  <si>
    <t>504 Dakota Ave</t>
  </si>
  <si>
    <t>R-P Properties Ltd</t>
  </si>
  <si>
    <t>Michael J Murphy</t>
  </si>
  <si>
    <t>PO Box 476</t>
  </si>
  <si>
    <t>Algona</t>
  </si>
  <si>
    <t>michaelm@netamumail.com</t>
  </si>
  <si>
    <t>601 E Ohio St</t>
  </si>
  <si>
    <t>Taylor</t>
  </si>
  <si>
    <t>Lenox Park LP</t>
  </si>
  <si>
    <t>601 2nd St SE</t>
  </si>
  <si>
    <t>Wright</t>
  </si>
  <si>
    <t>Clarion Iowa Housing Associates LP</t>
  </si>
  <si>
    <t>201 16th Ave NW</t>
  </si>
  <si>
    <t>Buchanan</t>
  </si>
  <si>
    <t>Independence LP</t>
  </si>
  <si>
    <t>Nicholas Roby</t>
  </si>
  <si>
    <t>215 10th St</t>
  </si>
  <si>
    <t>Ste 1300</t>
  </si>
  <si>
    <t>nicholasroby@davisbrownlaw.com</t>
  </si>
  <si>
    <t>704 E 18th St</t>
  </si>
  <si>
    <t>Fairview Village VLP</t>
  </si>
  <si>
    <t>1115 Buell Ave</t>
  </si>
  <si>
    <t>Horizon Management Group Inc</t>
  </si>
  <si>
    <t>Brad Gerke</t>
  </si>
  <si>
    <t>WHPC McGregor Partners Limited Partnership</t>
  </si>
  <si>
    <t>Mark Stay</t>
  </si>
  <si>
    <t>mstay@astarusa.com</t>
  </si>
  <si>
    <t>408 E Dawn St</t>
  </si>
  <si>
    <t>Crestview Apartments Limited Partnership</t>
  </si>
  <si>
    <t>Diane Plunkett</t>
  </si>
  <si>
    <t>PO Box 246</t>
  </si>
  <si>
    <t>LeGrand</t>
  </si>
  <si>
    <t>no email</t>
  </si>
  <si>
    <t>117 Railroad St</t>
  </si>
  <si>
    <t>Eagle Property Management</t>
  </si>
  <si>
    <t>Dee Mease</t>
  </si>
  <si>
    <t>Esaie Toingar</t>
  </si>
  <si>
    <t>369 Willshire Ct NE</t>
  </si>
  <si>
    <t>toingar@hotmail.com</t>
  </si>
  <si>
    <t>210 N State St</t>
  </si>
  <si>
    <t>2020 West St</t>
  </si>
  <si>
    <t>Grinnell Estates LP</t>
  </si>
  <si>
    <t>905 W North St</t>
  </si>
  <si>
    <t>Iowa</t>
  </si>
  <si>
    <t>Green Prairie Corporation</t>
  </si>
  <si>
    <t>kellylaw@acrec.com</t>
  </si>
  <si>
    <t>601 S Main St</t>
  </si>
  <si>
    <t>Prairie City Park Limited Partnership</t>
  </si>
  <si>
    <t>1250 Westwood Dr</t>
  </si>
  <si>
    <t>Westview Village Limited Partnership</t>
  </si>
  <si>
    <t>vendriss@truversemanagement.com</t>
  </si>
  <si>
    <t>110 Westview Dr</t>
  </si>
  <si>
    <t>Lake City I Limited Partnership</t>
  </si>
  <si>
    <t>504 E Dawn St</t>
  </si>
  <si>
    <t>LeGrand Village Limited Partnership</t>
  </si>
  <si>
    <t>1208 Florence St</t>
  </si>
  <si>
    <t>Parkersburg Village Limited Partnership</t>
  </si>
  <si>
    <t>1301 Sesame Dr</t>
  </si>
  <si>
    <t>Tama Iowa Housing Associates Limited Partnership</t>
  </si>
  <si>
    <t>1020 Tenth St</t>
  </si>
  <si>
    <t>Osage Iowa Housing Associates LP</t>
  </si>
  <si>
    <t>200 Laurel St</t>
  </si>
  <si>
    <t>515 Brick St SE</t>
  </si>
  <si>
    <t>3320 Queen Dr</t>
  </si>
  <si>
    <t>CV Apartments LP</t>
  </si>
  <si>
    <t>206 S Finn Dr</t>
  </si>
  <si>
    <t>SMR Management, Inc.</t>
  </si>
  <si>
    <t>Rachel Malecka</t>
  </si>
  <si>
    <t>Eastland Park Senior Apartments LP</t>
  </si>
  <si>
    <t>Dean Doyscher</t>
  </si>
  <si>
    <t>201 N Broad St</t>
  </si>
  <si>
    <t>Ste 109</t>
  </si>
  <si>
    <t>Mankato</t>
  </si>
  <si>
    <t>smr@smrrental.com</t>
  </si>
  <si>
    <t>1100 Cummins Rd</t>
  </si>
  <si>
    <t>Pacific Management Inc</t>
  </si>
  <si>
    <t>Denise Tietz</t>
  </si>
  <si>
    <t>Southridge Residential LLC</t>
  </si>
  <si>
    <t>Denise P Tietz</t>
  </si>
  <si>
    <t>20 S Clark St</t>
  </si>
  <si>
    <t>Ste 1600</t>
  </si>
  <si>
    <t>psomers@pacificmgt.net</t>
  </si>
  <si>
    <t>619 3rd Ave NW</t>
  </si>
  <si>
    <t>Hertz Farm Management Inc</t>
  </si>
  <si>
    <t>Julie Meyers</t>
  </si>
  <si>
    <t>Waukon Apartments LP</t>
  </si>
  <si>
    <t>Dan Bresnahan</t>
  </si>
  <si>
    <t>310 4th Ave S</t>
  </si>
  <si>
    <t>Ste 7100</t>
  </si>
  <si>
    <t>dbdanlaw@gmail.com</t>
  </si>
  <si>
    <t>90 Main St</t>
  </si>
  <si>
    <t>Mercy Housing, Inc.</t>
  </si>
  <si>
    <t>Melissa Rankin</t>
  </si>
  <si>
    <t>mrankin@mercyhousing.org</t>
  </si>
  <si>
    <t>524 Sunset Dr</t>
  </si>
  <si>
    <t>Sunrise Estates LP</t>
  </si>
  <si>
    <t>802 W Pine</t>
  </si>
  <si>
    <t>Marengo Park Apartments LP</t>
  </si>
  <si>
    <t>925 Jeffries St</t>
  </si>
  <si>
    <t>Cherokee</t>
  </si>
  <si>
    <t>Cherokee I LP</t>
  </si>
  <si>
    <t>530 Countryside Dr</t>
  </si>
  <si>
    <t>Highland Estates No 1 LP</t>
  </si>
  <si>
    <t>858 8th St SE</t>
  </si>
  <si>
    <t>Altoona I Limited Partnership</t>
  </si>
  <si>
    <t>508 S M St</t>
  </si>
  <si>
    <t>Oskaloosa I LP</t>
  </si>
  <si>
    <t>901 S 13th Ave E</t>
  </si>
  <si>
    <t>Newton I LP</t>
  </si>
  <si>
    <t>202 N 2nd Ave</t>
  </si>
  <si>
    <t>Ames Properties</t>
  </si>
  <si>
    <t>Carol Deahl</t>
  </si>
  <si>
    <t>Crestview Apts LLC</t>
  </si>
  <si>
    <t>Steve Ames</t>
  </si>
  <si>
    <t>PO Box 511</t>
  </si>
  <si>
    <t>amesrentals@yahoo.com</t>
  </si>
  <si>
    <t>2620 McKinley</t>
  </si>
  <si>
    <t>710 Jefferson St</t>
  </si>
  <si>
    <t>Fayette</t>
  </si>
  <si>
    <t>West Union Iowa Housing Assoc LP</t>
  </si>
  <si>
    <t>300 S Kirkwood Ave</t>
  </si>
  <si>
    <t>Eagle Grove Iowa Housing Assoc LP</t>
  </si>
  <si>
    <t>1119 Maplewood Dr</t>
  </si>
  <si>
    <t>College Square Partners II Ltd</t>
  </si>
  <si>
    <t>3125 Pennsylvania Ave</t>
  </si>
  <si>
    <t>Sodarock Housing Cooperative</t>
  </si>
  <si>
    <t>James Gantz</t>
  </si>
  <si>
    <t>10537 Rt 52 N</t>
  </si>
  <si>
    <t>jgantz@pepsidbq.com</t>
  </si>
  <si>
    <t>8278 NE University</t>
  </si>
  <si>
    <t>The Homestead</t>
  </si>
  <si>
    <t>Steven Muller</t>
  </si>
  <si>
    <t>Balance Autism Foundation</t>
  </si>
  <si>
    <t>1625 Adventureland Dr</t>
  </si>
  <si>
    <t>Ste B</t>
  </si>
  <si>
    <t>Altoona</t>
  </si>
  <si>
    <t>smuller@balanceautism.org</t>
  </si>
  <si>
    <t>220 Laurel St</t>
  </si>
  <si>
    <t>720 8th St SE</t>
  </si>
  <si>
    <t>TMG Management LC</t>
  </si>
  <si>
    <t>Jessica Butler</t>
  </si>
  <si>
    <t>SOTE Seven Centennial, Inc.</t>
  </si>
  <si>
    <t>4010 University Ave</t>
  </si>
  <si>
    <t>jessica@tmgmanagement.com</t>
  </si>
  <si>
    <t>611 Ashton Pl NE</t>
  </si>
  <si>
    <t>ABG Country Hill LLC</t>
  </si>
  <si>
    <t>2270 Bell Ave</t>
  </si>
  <si>
    <t>208 Glenda Dr</t>
  </si>
  <si>
    <t>Superior Rentals LLC</t>
  </si>
  <si>
    <t>Mike Judge</t>
  </si>
  <si>
    <t>Glenda Drive LLC</t>
  </si>
  <si>
    <t>PO Box 87</t>
  </si>
  <si>
    <t>lkjm@prodigy.net</t>
  </si>
  <si>
    <t>3305 Agin Court NE</t>
  </si>
  <si>
    <t>427 Ashton Place NE</t>
  </si>
  <si>
    <t>ABG Valley View LLC</t>
  </si>
  <si>
    <t>1708 Wildcat Rd</t>
  </si>
  <si>
    <t>Humboldt I LP</t>
  </si>
  <si>
    <t>1001 Cherry St</t>
  </si>
  <si>
    <t>National Biscuit Company Flats LLC</t>
  </si>
  <si>
    <t>Darren Harkins</t>
  </si>
  <si>
    <t>1160 SE Westwoods Dr</t>
  </si>
  <si>
    <t>Waukee</t>
  </si>
  <si>
    <t>darrenharkins@hotmail.com</t>
  </si>
  <si>
    <t>821 S 13th Ave E</t>
  </si>
  <si>
    <t>ABG Hunter's Run, LLC</t>
  </si>
  <si>
    <t>420 S Gustin</t>
  </si>
  <si>
    <t>Western Prairie Land &amp; Livery Co</t>
  </si>
  <si>
    <t>Dane P Shelton</t>
  </si>
  <si>
    <t>3730 Southern Hills Dr</t>
  </si>
  <si>
    <t>2065 Nash Blvd</t>
  </si>
  <si>
    <t>SMV Bluffs Apt LP</t>
  </si>
  <si>
    <t>3175 Pennsylvania Ave</t>
  </si>
  <si>
    <t>1543 27th Ave N</t>
  </si>
  <si>
    <t>94-HM-202-731</t>
  </si>
  <si>
    <t>230 11th St W</t>
  </si>
  <si>
    <t>Osceola</t>
  </si>
  <si>
    <t>Sibley One LP</t>
  </si>
  <si>
    <t>4230 Hickory Ln</t>
  </si>
  <si>
    <t>Midstates Development Inc</t>
  </si>
  <si>
    <t>Diane Lary</t>
  </si>
  <si>
    <t>Prestwick Apartments Ltd LP</t>
  </si>
  <si>
    <t>Terry Burns</t>
  </si>
  <si>
    <t>615 5th St</t>
  </si>
  <si>
    <t>terry@midstatesdev.com</t>
  </si>
  <si>
    <t>2095 Nash Blvd</t>
  </si>
  <si>
    <t>95-HM-407-731</t>
  </si>
  <si>
    <t>705 N Front St</t>
  </si>
  <si>
    <t>North Liberty Iowa Housing Associates LP</t>
  </si>
  <si>
    <t>95-HM-408-731</t>
  </si>
  <si>
    <t>1104 W 5th St</t>
  </si>
  <si>
    <t>Ida</t>
  </si>
  <si>
    <t>Ida Grove Iowa Housing Associates LP</t>
  </si>
  <si>
    <t>16 Aossey Lane SW</t>
  </si>
  <si>
    <t>Heartland V LLC</t>
  </si>
  <si>
    <t>Darin Garmin</t>
  </si>
  <si>
    <t>743 10th St</t>
  </si>
  <si>
    <t>darin.garman@gmail.com</t>
  </si>
  <si>
    <t>95-HM-201-721</t>
  </si>
  <si>
    <t>212 E 4th St</t>
  </si>
  <si>
    <t>Silver Lake LP</t>
  </si>
  <si>
    <t>cal@pre-3.com</t>
  </si>
  <si>
    <t>M-93-400-731-05</t>
  </si>
  <si>
    <t>806 2nd St SW</t>
  </si>
  <si>
    <t>Cresco Village LP</t>
  </si>
  <si>
    <t>1405 N Seneca St</t>
  </si>
  <si>
    <t>Seneca Place Apts LLC</t>
  </si>
  <si>
    <t>94-HM-405-701</t>
  </si>
  <si>
    <t>Boone I LP</t>
  </si>
  <si>
    <t>94-HM-403-721</t>
  </si>
  <si>
    <t>1749 Lynx</t>
  </si>
  <si>
    <t>Prairieview Manor Company LP</t>
  </si>
  <si>
    <t>1301 14th St</t>
  </si>
  <si>
    <t>Senne Property Investments IA, LLC</t>
  </si>
  <si>
    <t>Emma Deem</t>
  </si>
  <si>
    <t>Jason A Senne</t>
  </si>
  <si>
    <t>5335 Shawnee Dr</t>
  </si>
  <si>
    <t>bluedoorqc@gmail.com</t>
  </si>
  <si>
    <t>2805 6th Ave N</t>
  </si>
  <si>
    <t>95-HM-413-731</t>
  </si>
  <si>
    <t>500 W Line St</t>
  </si>
  <si>
    <t>Countryside Associates of Manchester LP</t>
  </si>
  <si>
    <t>95-HM-420-731</t>
  </si>
  <si>
    <t>1001 S Sumner St</t>
  </si>
  <si>
    <t>730 S 6th St</t>
  </si>
  <si>
    <t>St Joseph</t>
  </si>
  <si>
    <t>tgibson@chm-inc.org</t>
  </si>
  <si>
    <t>1547 27th Ave N</t>
  </si>
  <si>
    <t>96-HM-421-731</t>
  </si>
  <si>
    <t>1303 14th St</t>
  </si>
  <si>
    <t>96-HMS-425-731</t>
  </si>
  <si>
    <t>708 W 9th St</t>
  </si>
  <si>
    <t>Cedar</t>
  </si>
  <si>
    <t>Tipton Iowa Housing Associates LP</t>
  </si>
  <si>
    <t>715 Central Ave</t>
  </si>
  <si>
    <t>JP Star Housing Cooperative</t>
  </si>
  <si>
    <t>3575 Marquette St</t>
  </si>
  <si>
    <t>96-HM-424-731</t>
  </si>
  <si>
    <t>804 Palm Ave</t>
  </si>
  <si>
    <t>Mt Pleasant II LP</t>
  </si>
  <si>
    <t>96-HMS-430-731A</t>
  </si>
  <si>
    <t>1437 Irvine St</t>
  </si>
  <si>
    <t>Sac City I LP</t>
  </si>
  <si>
    <t>96-HMS-429-731A</t>
  </si>
  <si>
    <t>202 S 13th St</t>
  </si>
  <si>
    <t>Emmet</t>
  </si>
  <si>
    <t>Garden Village of Estherville LP</t>
  </si>
  <si>
    <t>94-HM-432-731</t>
  </si>
  <si>
    <t>216 W 16th St</t>
  </si>
  <si>
    <t>Humility of Mary Holdings LLC</t>
  </si>
  <si>
    <t>Ashley Velez</t>
  </si>
  <si>
    <t>3805 Mississippi Ave</t>
  </si>
  <si>
    <t>a.velez@humilityhomes.org</t>
  </si>
  <si>
    <t>97-HM-436-731</t>
  </si>
  <si>
    <t>515 Stokes Dr</t>
  </si>
  <si>
    <t>Stokes Senior Housing Ventures LP</t>
  </si>
  <si>
    <t>98-HM-448-731</t>
  </si>
  <si>
    <t>1800 W 4th St N</t>
  </si>
  <si>
    <t>Premier Woodland Heights, LLC</t>
  </si>
  <si>
    <t>98-HM-201-731</t>
  </si>
  <si>
    <t>3009 Harmony Ln</t>
  </si>
  <si>
    <t>MCSA MWA LP I</t>
  </si>
  <si>
    <t>97-HMS-438-731</t>
  </si>
  <si>
    <t>601 W Adams St</t>
  </si>
  <si>
    <t>IHC Limited Partnership I</t>
  </si>
  <si>
    <t>263 Manor Dr</t>
  </si>
  <si>
    <t>Premier Osceola IA, LLC</t>
  </si>
  <si>
    <t>97-HMS-439-731</t>
  </si>
  <si>
    <t>2000 W Madison St</t>
  </si>
  <si>
    <t>Premier Knoxville IA, LLC</t>
  </si>
  <si>
    <t>649 Parkwild Dr</t>
  </si>
  <si>
    <t>Parkwild Heights LLC</t>
  </si>
  <si>
    <t>Premier Meadow Woods I IA, LLC</t>
  </si>
  <si>
    <t>900 8th St SW</t>
  </si>
  <si>
    <t>Venbury Trail Limited Partnership</t>
  </si>
  <si>
    <t>96-HMS-431-731</t>
  </si>
  <si>
    <t>208 S Court St</t>
  </si>
  <si>
    <t>Wagon Wheel LP</t>
  </si>
  <si>
    <t>97-HM-204-731</t>
  </si>
  <si>
    <t>510 Washington St</t>
  </si>
  <si>
    <t>NEICAC Housing Investors LLC</t>
  </si>
  <si>
    <t>503 3rd St</t>
  </si>
  <si>
    <t>Pilot Creek Properties L.L.C.</t>
  </si>
  <si>
    <t>Nicholas B Graham</t>
  </si>
  <si>
    <t>P O Box 212</t>
  </si>
  <si>
    <t>Ackley</t>
  </si>
  <si>
    <t>nick@newhorizonsinternet.com</t>
  </si>
  <si>
    <t>96-HM-424-731-A</t>
  </si>
  <si>
    <t>800 N Palm Ave</t>
  </si>
  <si>
    <t>405 S Chautauqua</t>
  </si>
  <si>
    <t>Oakland I LP</t>
  </si>
  <si>
    <t>800 W Tarkio</t>
  </si>
  <si>
    <t>Page</t>
  </si>
  <si>
    <t>Clarinda I LP</t>
  </si>
  <si>
    <t>901 N 35th St</t>
  </si>
  <si>
    <t>SMV Featherstone, LLC</t>
  </si>
  <si>
    <t>98-HM-209-731</t>
  </si>
  <si>
    <t>1051 2nd Ave NE</t>
  </si>
  <si>
    <t>Northwood Court LP</t>
  </si>
  <si>
    <t>98-HM-204-731</t>
  </si>
  <si>
    <t>140 N 7th Ave E</t>
  </si>
  <si>
    <t>Hartley Housing Asociates LP</t>
  </si>
  <si>
    <t>98-HM-203-27</t>
  </si>
  <si>
    <t>411 Nebraska St</t>
  </si>
  <si>
    <t>Century Plaza LP</t>
  </si>
  <si>
    <t>98-HM-205-731</t>
  </si>
  <si>
    <t>607 15th St</t>
  </si>
  <si>
    <t>Lakewood Court LP</t>
  </si>
  <si>
    <t>Alicia Clark</t>
  </si>
  <si>
    <t>98-HM-206-731</t>
  </si>
  <si>
    <t>419 S Irene St</t>
  </si>
  <si>
    <t>Woodbury Park LP</t>
  </si>
  <si>
    <t>98-HM-207-731</t>
  </si>
  <si>
    <t>2117 Central Ave</t>
  </si>
  <si>
    <t>Maplecrest Apartments LP</t>
  </si>
  <si>
    <t>95-HM-416-731</t>
  </si>
  <si>
    <t>504 2nd St</t>
  </si>
  <si>
    <t>Liberty Realty</t>
  </si>
  <si>
    <t>Jeanine Thurston</t>
  </si>
  <si>
    <t>Twin Oaks Manor Inc</t>
  </si>
  <si>
    <t>Dean Blanchard</t>
  </si>
  <si>
    <t>PO Box 305</t>
  </si>
  <si>
    <t>Denmark</t>
  </si>
  <si>
    <t>denmarknmc@gmail.com</t>
  </si>
  <si>
    <t>98-HM-208-28</t>
  </si>
  <si>
    <t>627 Sycamore St</t>
  </si>
  <si>
    <t>Marsh Place LP</t>
  </si>
  <si>
    <t>1305 S Linn St</t>
  </si>
  <si>
    <t>Premier Boone IA, LLC</t>
  </si>
  <si>
    <t>Casey Duffy</t>
  </si>
  <si>
    <t>210 E 28th St N</t>
  </si>
  <si>
    <t>Premier Newton IA, LLC</t>
  </si>
  <si>
    <t>1711 S 7th Ave</t>
  </si>
  <si>
    <t>Premier Marshalltown IA LLC</t>
  </si>
  <si>
    <t>99-HM-407-721</t>
  </si>
  <si>
    <t>1259 Shannon Dr</t>
  </si>
  <si>
    <t>Iowa City IHA Senior Housing LP</t>
  </si>
  <si>
    <t>98-HM-445-721</t>
  </si>
  <si>
    <t>109 18th Ave E</t>
  </si>
  <si>
    <t>Oskaloosa IHA Senior Housing LP</t>
  </si>
  <si>
    <t>98-HM-444-721</t>
  </si>
  <si>
    <t>2803 A Ave</t>
  </si>
  <si>
    <t>Fort Madison IHA Senior Housing LP</t>
  </si>
  <si>
    <t>202 18th Ave E</t>
  </si>
  <si>
    <t>Premier Winneconne, LLC</t>
  </si>
  <si>
    <t>2805 Schroeder Dr</t>
  </si>
  <si>
    <t>Southwest Homebuilders Inc 401 (K) Profit Share</t>
  </si>
  <si>
    <t>Bruce Agenter</t>
  </si>
  <si>
    <t>PO Box 6410</t>
  </si>
  <si>
    <t>2610 Apache Ct</t>
  </si>
  <si>
    <t>4303 Stone Ave</t>
  </si>
  <si>
    <t>kmathisen@siouxlan.net</t>
  </si>
  <si>
    <t>98-HMS-663-731</t>
  </si>
  <si>
    <t>802 1st St</t>
  </si>
  <si>
    <t>Monona</t>
  </si>
  <si>
    <t>ONI LP</t>
  </si>
  <si>
    <t>98-HM-442-731</t>
  </si>
  <si>
    <t>2365 Tech Dr</t>
  </si>
  <si>
    <t>Cumberland House Associates LP</t>
  </si>
  <si>
    <t>1516 SE Evergreen Ave</t>
  </si>
  <si>
    <t>Southbrook Green Apartments II L P</t>
  </si>
  <si>
    <t>99-HM-404-721</t>
  </si>
  <si>
    <t>1010 Scott Park Dr</t>
  </si>
  <si>
    <t>Regency Heights Iowa City I, LLC</t>
  </si>
  <si>
    <t>97-HMS-446-721</t>
  </si>
  <si>
    <t>1120 Maple Leaf Lane</t>
  </si>
  <si>
    <t>Mid Iowa Affordable Housing LP</t>
  </si>
  <si>
    <t>98-HMS-447-721</t>
  </si>
  <si>
    <t>1111 N 8th Ave</t>
  </si>
  <si>
    <t>1406 E 22nd St</t>
  </si>
  <si>
    <t>Premier Sundance IA, LLC</t>
  </si>
  <si>
    <t>98-HMS-661-731</t>
  </si>
  <si>
    <t>1800 S 7th Ave E</t>
  </si>
  <si>
    <t>Newton Housing Partners LLC</t>
  </si>
  <si>
    <t>98-HMS-660-731</t>
  </si>
  <si>
    <t>304 4th Ave W</t>
  </si>
  <si>
    <t>Grinnell Housing Partners LLC</t>
  </si>
  <si>
    <t>98-HMS-659-731</t>
  </si>
  <si>
    <t>101 Pleasantview Dr</t>
  </si>
  <si>
    <t>Kellogg Housing Partners LLC</t>
  </si>
  <si>
    <t>98-HMS-658-731</t>
  </si>
  <si>
    <t>505 W Lincoln</t>
  </si>
  <si>
    <t>Monroe Housing Partners LLC</t>
  </si>
  <si>
    <t>98-HMS-662-731</t>
  </si>
  <si>
    <t>210 E Jefferson</t>
  </si>
  <si>
    <t>Pella Housing Partners LLC</t>
  </si>
  <si>
    <t>99-HM-406-721</t>
  </si>
  <si>
    <t>Oskaloosa IHA II Senior Housing LP</t>
  </si>
  <si>
    <t>99-HM-405-721</t>
  </si>
  <si>
    <t>Fort Madison IHA II Senior Housing LP</t>
  </si>
  <si>
    <t>99-HM-206-721</t>
  </si>
  <si>
    <t>210 9th St N</t>
  </si>
  <si>
    <t>Ivy Apartments LP</t>
  </si>
  <si>
    <t>99-HM-411-731</t>
  </si>
  <si>
    <t>19 D Ave</t>
  </si>
  <si>
    <t>Grundy</t>
  </si>
  <si>
    <t>Premier Grundy Center IA, LLC</t>
  </si>
  <si>
    <t>99-HM-410-731</t>
  </si>
  <si>
    <t>1430 E Georgetown Rd</t>
  </si>
  <si>
    <t>Premier Iowa City IA LLC</t>
  </si>
  <si>
    <t>3525 Marquette St</t>
  </si>
  <si>
    <t>202 Olive St</t>
  </si>
  <si>
    <t>Maquoketa Housing LP</t>
  </si>
  <si>
    <t>1503 Houser St</t>
  </si>
  <si>
    <t>Muscatine Housing LP</t>
  </si>
  <si>
    <t>99-HM-409-29</t>
  </si>
  <si>
    <t>1433 Sixth Ave</t>
  </si>
  <si>
    <t>Kromer Flats LP</t>
  </si>
  <si>
    <t>99-HM-408-731</t>
  </si>
  <si>
    <t>801 Myatt Dr</t>
  </si>
  <si>
    <t>Maquoketa IHA Senior Housing LP</t>
  </si>
  <si>
    <t>99-HM-403-731</t>
  </si>
  <si>
    <t>102 Winngate Dr</t>
  </si>
  <si>
    <t>IHC Forest City LP I</t>
  </si>
  <si>
    <t>6001 SW Creston Ave</t>
  </si>
  <si>
    <t>River Valley Estates LP</t>
  </si>
  <si>
    <t>99-HM-412-731</t>
  </si>
  <si>
    <t>1102 Woodland Ave</t>
  </si>
  <si>
    <t>99-HM-402-731</t>
  </si>
  <si>
    <t>1130 N 11th St</t>
  </si>
  <si>
    <t>Premier Clinton IA, LLC</t>
  </si>
  <si>
    <t>99-HM-401-731</t>
  </si>
  <si>
    <t>1109 Buddy Holly Pl</t>
  </si>
  <si>
    <t>Twyla Kuha</t>
  </si>
  <si>
    <t>Premier Meadow Lake IA, LLC</t>
  </si>
  <si>
    <t>01-HM-413-731</t>
  </si>
  <si>
    <t>4236 Hickory Ln</t>
  </si>
  <si>
    <t>Hickory Lane Partners LP</t>
  </si>
  <si>
    <t>Lewis Weinberg</t>
  </si>
  <si>
    <t>505 5th St</t>
  </si>
  <si>
    <t>lew515@gmail.com</t>
  </si>
  <si>
    <t>410 Pierce St</t>
  </si>
  <si>
    <t>Pierce Street Partners LP</t>
  </si>
  <si>
    <t>99-HM-204-731</t>
  </si>
  <si>
    <t>900 6th Ave NE</t>
  </si>
  <si>
    <t>Operation Threshold</t>
  </si>
  <si>
    <t>Joe Ambrose</t>
  </si>
  <si>
    <t>Barbara Grant</t>
  </si>
  <si>
    <t>PO Box 4120</t>
  </si>
  <si>
    <t>bgrant@operationthreshold.org</t>
  </si>
  <si>
    <t>Clear Lake</t>
  </si>
  <si>
    <t>Oskaloosa</t>
  </si>
  <si>
    <t>Story City</t>
  </si>
  <si>
    <t>Charles City</t>
  </si>
  <si>
    <t>Ottumwa</t>
  </si>
  <si>
    <t>Mason City</t>
  </si>
  <si>
    <t>LIHTC Project Number</t>
  </si>
  <si>
    <t>HOME Project Number</t>
  </si>
  <si>
    <t>Proj Address</t>
  </si>
  <si>
    <t>Manager Name</t>
  </si>
  <si>
    <t>Manager Contact</t>
  </si>
  <si>
    <t>Manager Phone Number</t>
  </si>
  <si>
    <t>No Buildings PIS</t>
  </si>
  <si>
    <t>Project Total Units</t>
  </si>
  <si>
    <t>Audit Review Freq</t>
  </si>
  <si>
    <t>Last Proj Audit Date</t>
  </si>
  <si>
    <t>Fee Paymnt Frequency</t>
  </si>
  <si>
    <t>Owner Name</t>
  </si>
  <si>
    <t>Owner Contact</t>
  </si>
  <si>
    <t>Owner E-Mail</t>
  </si>
  <si>
    <t>Owner Phone Number</t>
  </si>
  <si>
    <t>Compl Assigned To</t>
  </si>
  <si>
    <t>ACTIVE PROJECTS</t>
  </si>
  <si>
    <t>Meadow Crest Gardens I</t>
  </si>
  <si>
    <t>Henry Stout Senior Apartments</t>
  </si>
  <si>
    <t>Bennett Building</t>
  </si>
  <si>
    <t>St. Katherine'S</t>
  </si>
  <si>
    <t>Woodbury Ridge</t>
  </si>
  <si>
    <t>Summerfield Park</t>
  </si>
  <si>
    <t>Lexington Place</t>
  </si>
  <si>
    <t>Monterey Point</t>
  </si>
  <si>
    <t>Deer Meadow</t>
  </si>
  <si>
    <t>Sugar Creek Apts</t>
  </si>
  <si>
    <t>Windfield West Apts</t>
  </si>
  <si>
    <t>Sherwood Place</t>
  </si>
  <si>
    <t>The Center Apts</t>
  </si>
  <si>
    <t>Fairway Estates</t>
  </si>
  <si>
    <t>Decorah Woolen Mill</t>
  </si>
  <si>
    <t>Central Place Apts</t>
  </si>
  <si>
    <t>Van Allen</t>
  </si>
  <si>
    <t>Hearthstone Apartments</t>
  </si>
  <si>
    <t>Lincoln Ridge</t>
  </si>
  <si>
    <t>Lyn Crossing Apartments</t>
  </si>
  <si>
    <t>Pinnacle Apts Of Waterloo</t>
  </si>
  <si>
    <t>Pinnacle Of Boone</t>
  </si>
  <si>
    <t>Black Hawk Village</t>
  </si>
  <si>
    <t>Parkside East I Apartments</t>
  </si>
  <si>
    <t>Vera French Manor</t>
  </si>
  <si>
    <t>Spring Hill Apts</t>
  </si>
  <si>
    <t>Emerson Point</t>
  </si>
  <si>
    <t>Thornbury Way</t>
  </si>
  <si>
    <t>Arbor Glen</t>
  </si>
  <si>
    <t>Woodland Ave Brickstone Apts</t>
  </si>
  <si>
    <t>Summit House</t>
  </si>
  <si>
    <t>Stokes Manor</t>
  </si>
  <si>
    <t>William B Quarton Place</t>
  </si>
  <si>
    <t>Scott Meadows</t>
  </si>
  <si>
    <t>Hickory Grove Apts</t>
  </si>
  <si>
    <t>Maple Lane Apts</t>
  </si>
  <si>
    <t>Chapelridge At Johnston</t>
  </si>
  <si>
    <t>Windsor Pointe</t>
  </si>
  <si>
    <t>Marycrest</t>
  </si>
  <si>
    <t>Grant Village</t>
  </si>
  <si>
    <t>Cobblestone Terrace</t>
  </si>
  <si>
    <t>Cobblestone Place</t>
  </si>
  <si>
    <t>Evergreen Meadows Apartments</t>
  </si>
  <si>
    <t>The Meadows</t>
  </si>
  <si>
    <t>Westown Apartments</t>
  </si>
  <si>
    <t>Linden Apartments</t>
  </si>
  <si>
    <t>Prairie Townhomes</t>
  </si>
  <si>
    <t>Oak Terrace</t>
  </si>
  <si>
    <t>Kennedy Point</t>
  </si>
  <si>
    <t>The Rose Of Ames</t>
  </si>
  <si>
    <t>Davenport Lofts</t>
  </si>
  <si>
    <t>Savannah Village</t>
  </si>
  <si>
    <t>Chapelridge Of Marion</t>
  </si>
  <si>
    <t>Chapelridge Of Council Bluffs</t>
  </si>
  <si>
    <t>Ridgeview (Bellevue Iha)</t>
  </si>
  <si>
    <t>Upper Main Revitalization Project</t>
  </si>
  <si>
    <t>Vera French Terrace</t>
  </si>
  <si>
    <t>Roosevelt Senior Residences</t>
  </si>
  <si>
    <t>The Gables</t>
  </si>
  <si>
    <t>The Rose Of Des Moines</t>
  </si>
  <si>
    <t>Cedar Park Apartments</t>
  </si>
  <si>
    <t>Hotel Iowa</t>
  </si>
  <si>
    <t>East Village Square Apartments</t>
  </si>
  <si>
    <t>Walden Point</t>
  </si>
  <si>
    <t>Clinton Block</t>
  </si>
  <si>
    <t>Hamilton Knolls</t>
  </si>
  <si>
    <t>Remcares Townhomes</t>
  </si>
  <si>
    <t>Lake Plaza Apartments Phase I</t>
  </si>
  <si>
    <t>Emerald Hill Apartments</t>
  </si>
  <si>
    <t>Park Run Apartments</t>
  </si>
  <si>
    <t>Hubbell Tower Apartments</t>
  </si>
  <si>
    <t>Court Avenue Lofts</t>
  </si>
  <si>
    <t>Vine Street Lofts</t>
  </si>
  <si>
    <t>Town View Apartments</t>
  </si>
  <si>
    <t>The Housing Fellowship Longfellow Manor</t>
  </si>
  <si>
    <t>Davis Place</t>
  </si>
  <si>
    <t>Asbury Meadows Apartments</t>
  </si>
  <si>
    <t>Welch Apartments</t>
  </si>
  <si>
    <t>Whispering Garden</t>
  </si>
  <si>
    <t>Fulton Place</t>
  </si>
  <si>
    <t>Jackson Point</t>
  </si>
  <si>
    <t>Northpark Apartments</t>
  </si>
  <si>
    <t>Marketplace Lofts</t>
  </si>
  <si>
    <t>Washington Court (Dubuque)</t>
  </si>
  <si>
    <t>Armstrong Apartments</t>
  </si>
  <si>
    <t>Sieg Iron Lofts</t>
  </si>
  <si>
    <t>Salisbury Court Apts</t>
  </si>
  <si>
    <t>Antlers Apts</t>
  </si>
  <si>
    <t>Mississippi Lofts</t>
  </si>
  <si>
    <t>Ft Dodge Hsg Transitional</t>
  </si>
  <si>
    <t>1014 City Ft Madison</t>
  </si>
  <si>
    <t>509 City Ft Madison</t>
  </si>
  <si>
    <t>833 City Ft Madison</t>
  </si>
  <si>
    <t>Northeast Iowa Community Action Corp</t>
  </si>
  <si>
    <t>401 Burlington Downtown Partners</t>
  </si>
  <si>
    <t>511 Burlington Downtown Partners</t>
  </si>
  <si>
    <t>603 Burlington Downtown Partners</t>
  </si>
  <si>
    <t>The Rose Of Waterloo</t>
  </si>
  <si>
    <t>Hawthorn Hill</t>
  </si>
  <si>
    <t>The Way Home</t>
  </si>
  <si>
    <t>New Directions Housing</t>
  </si>
  <si>
    <t>Jefferson Point I</t>
  </si>
  <si>
    <t>Melrose Ridge</t>
  </si>
  <si>
    <t>Irving Point</t>
  </si>
  <si>
    <t>Harrington Apartments</t>
  </si>
  <si>
    <t>Prime Square Apartments</t>
  </si>
  <si>
    <t>Sanctuary Apartments</t>
  </si>
  <si>
    <t>Pioneer Woods</t>
  </si>
  <si>
    <t>Stone Ridge Townhomes</t>
  </si>
  <si>
    <t>Meadow Heights Apartments</t>
  </si>
  <si>
    <t>Community Based Services Se Housing Proj</t>
  </si>
  <si>
    <t>Humboldt Workshop Se Project</t>
  </si>
  <si>
    <t>New Visions Center</t>
  </si>
  <si>
    <t>Spring Village Apartments</t>
  </si>
  <si>
    <t>Spruce Hills Village</t>
  </si>
  <si>
    <t>Country Club Village Project</t>
  </si>
  <si>
    <t>Fresh Start Housing Llc</t>
  </si>
  <si>
    <t>Deer Ridge V Apartments</t>
  </si>
  <si>
    <t>Town Square Apartments</t>
  </si>
  <si>
    <t>Berry Court</t>
  </si>
  <si>
    <t>The Rose Of East Des Moines</t>
  </si>
  <si>
    <t>Stockbridge Apartments</t>
  </si>
  <si>
    <t>South View Senior Apts I</t>
  </si>
  <si>
    <t>Community Homes</t>
  </si>
  <si>
    <t>Heartland Homes</t>
  </si>
  <si>
    <t>Fairmont Pines (Fka Horizon Homes)</t>
  </si>
  <si>
    <t>Cross Creek Apartments Phase I</t>
  </si>
  <si>
    <t>Oakview Terrace Apartments</t>
  </si>
  <si>
    <t>St. Mary'S Apartments</t>
  </si>
  <si>
    <t>Hillside Park</t>
  </si>
  <si>
    <t>822 826 City Ft Madison</t>
  </si>
  <si>
    <t>101 City Mt Pleasant</t>
  </si>
  <si>
    <t>110 City Mt Pleasant</t>
  </si>
  <si>
    <t>Solon Community Housing Corp</t>
  </si>
  <si>
    <t>Common Ground Duplexes Llc</t>
  </si>
  <si>
    <t>Bishop Terrace (Jam Development Llc)</t>
  </si>
  <si>
    <t>Davis Place Llc</t>
  </si>
  <si>
    <t>Chapel Ridge West I</t>
  </si>
  <si>
    <t>Deer Ridge Vi Apartments</t>
  </si>
  <si>
    <t>Grant Terrace</t>
  </si>
  <si>
    <t>Lincoln Terrace</t>
  </si>
  <si>
    <t>Harvester Artist Lofts</t>
  </si>
  <si>
    <t>Whisper Ridge</t>
  </si>
  <si>
    <t>Homes Of Oakridge Phase I</t>
  </si>
  <si>
    <t>Willow Bend I Apartments</t>
  </si>
  <si>
    <t>Aniston Village</t>
  </si>
  <si>
    <t>Cedar View Apartments</t>
  </si>
  <si>
    <t>The Roosevelt</t>
  </si>
  <si>
    <t>Metro Lofts</t>
  </si>
  <si>
    <t>Rumely Lofts</t>
  </si>
  <si>
    <t>Hometown Harbor Bettendorf</t>
  </si>
  <si>
    <t>Melbourne Apartments I</t>
  </si>
  <si>
    <t>Lundby Townhomes</t>
  </si>
  <si>
    <t>Spencer School Apts</t>
  </si>
  <si>
    <t>Brown Apartments</t>
  </si>
  <si>
    <t>Wahkonsa Manor</t>
  </si>
  <si>
    <t>Salvia House</t>
  </si>
  <si>
    <t>Greater Bancroft Company</t>
  </si>
  <si>
    <t>Eastwood Apts</t>
  </si>
  <si>
    <t>Crestview Terrace</t>
  </si>
  <si>
    <t>Vera French Holiday Court</t>
  </si>
  <si>
    <t>Liberty Manor</t>
  </si>
  <si>
    <t>Unity Square Townhomes</t>
  </si>
  <si>
    <t>Murray Apartments</t>
  </si>
  <si>
    <t>Mlk Brickstone I</t>
  </si>
  <si>
    <t>Oak Hill Jackson Brickstone</t>
  </si>
  <si>
    <t>The Taylor Renaissance</t>
  </si>
  <si>
    <t>The Preserve At Crossroads</t>
  </si>
  <si>
    <t>Hometown Harbor Waukee</t>
  </si>
  <si>
    <t>Laverne Apartments</t>
  </si>
  <si>
    <t>Westport Terrace</t>
  </si>
  <si>
    <t>Cedar Pond Townhomes</t>
  </si>
  <si>
    <t>The Rose Of Council Bluffs</t>
  </si>
  <si>
    <t>Sugar Creek Bend</t>
  </si>
  <si>
    <t>Bluffs Apt Of Ft Madison</t>
  </si>
  <si>
    <t>Meadows Apts Of Nevada</t>
  </si>
  <si>
    <t>East Des Moines Rehab</t>
  </si>
  <si>
    <t>Parkwinds</t>
  </si>
  <si>
    <t>Legacy Manor Of Waterloo</t>
  </si>
  <si>
    <t>Crosswinds</t>
  </si>
  <si>
    <t>Southwinds</t>
  </si>
  <si>
    <t>Prairiewinds</t>
  </si>
  <si>
    <t>Fort Des Moines Sr Housing</t>
  </si>
  <si>
    <t>Suncrest Village</t>
  </si>
  <si>
    <t>Walker Corners (428 Walker)</t>
  </si>
  <si>
    <t>Meadow Vista Sr Villas</t>
  </si>
  <si>
    <t>Cedarbrooke Place Apts</t>
  </si>
  <si>
    <t>Russell Lamson</t>
  </si>
  <si>
    <t>Waukee Family Housing</t>
  </si>
  <si>
    <t>Woodland West Apts</t>
  </si>
  <si>
    <t>Diamond Senior Apartments Of Dubuque</t>
  </si>
  <si>
    <t>Meadow Vista Parkside</t>
  </si>
  <si>
    <t>The Iowana</t>
  </si>
  <si>
    <t>Marion Manor I</t>
  </si>
  <si>
    <t>Prairie Village Of Adel</t>
  </si>
  <si>
    <t>Afton Park Apts Creston Park Apts</t>
  </si>
  <si>
    <t>Greenway Of Burlington</t>
  </si>
  <si>
    <t>Thunder Ridge Senior Apartments</t>
  </si>
  <si>
    <t>Mitchellville Park Apts</t>
  </si>
  <si>
    <t>Mt Pleasant Park Apts</t>
  </si>
  <si>
    <t>Nevada Elderly Apts</t>
  </si>
  <si>
    <t>Good Life Retirement Center</t>
  </si>
  <si>
    <t>State Center Park Apartments</t>
  </si>
  <si>
    <t>Village Park/Indianhead Apts</t>
  </si>
  <si>
    <t>Fb Harlan</t>
  </si>
  <si>
    <t>Christ The King Senior Housing</t>
  </si>
  <si>
    <t>Cottages At Johnston Commons</t>
  </si>
  <si>
    <t>400 404 Burlington Downtown Partners</t>
  </si>
  <si>
    <t>413 415 Burlington Downtown Partners</t>
  </si>
  <si>
    <t>510 Burlington Downtown Partners</t>
  </si>
  <si>
    <t>613 Burlington Downtown Partners</t>
  </si>
  <si>
    <t>Willoway Heights</t>
  </si>
  <si>
    <t>Fletcher Estates Apartment Homes</t>
  </si>
  <si>
    <t>Legacy Manor Of Cedar Rapids</t>
  </si>
  <si>
    <t>Thomas Square At Grimes</t>
  </si>
  <si>
    <t>Forest And Fields</t>
  </si>
  <si>
    <t>Cornerstone Commons</t>
  </si>
  <si>
    <t>The Jackson Renaissance</t>
  </si>
  <si>
    <t>Robinson Heights Apartments</t>
  </si>
  <si>
    <t>Silver Oaks</t>
  </si>
  <si>
    <t>Capitol City Duplexes</t>
  </si>
  <si>
    <t>The Rose Of Dubuque</t>
  </si>
  <si>
    <t>Crane Artists Lofts</t>
  </si>
  <si>
    <t>Beacon Place</t>
  </si>
  <si>
    <t>Valley View Apts-Columbus Junction</t>
  </si>
  <si>
    <t>Liberty Ridge Rentals</t>
  </si>
  <si>
    <t>Oak Court Rentals</t>
  </si>
  <si>
    <t>Meadowlark Place Apartments</t>
  </si>
  <si>
    <t>The Crest At Baker Creek</t>
  </si>
  <si>
    <t>The Tallcorn</t>
  </si>
  <si>
    <t>Walton Woods</t>
  </si>
  <si>
    <t>Plymouth Place</t>
  </si>
  <si>
    <t>Southern Meadows Homes</t>
  </si>
  <si>
    <t>Heartland Senior Housing</t>
  </si>
  <si>
    <t>Pebble Creek Villas</t>
  </si>
  <si>
    <t>Elsie Mason Manor</t>
  </si>
  <si>
    <t>Carnegie Place Apartments</t>
  </si>
  <si>
    <t>Harrison Lofts (Davenport)</t>
  </si>
  <si>
    <t>Prairie Village Of Laporte City</t>
  </si>
  <si>
    <t>Lessenich Place Apartments</t>
  </si>
  <si>
    <t>Boyer View Apartments</t>
  </si>
  <si>
    <t>Legacy Manor Of Mason City I</t>
  </si>
  <si>
    <t>West Heights Townhomes</t>
  </si>
  <si>
    <t>Stewart Park Townhouses</t>
  </si>
  <si>
    <t>Wellington Heights Neighborhood Rev</t>
  </si>
  <si>
    <t>Hilltop I</t>
  </si>
  <si>
    <t>Bloomsbury Village</t>
  </si>
  <si>
    <t>Hilltop Senior</t>
  </si>
  <si>
    <t>Broadway Heights Apartments I</t>
  </si>
  <si>
    <t>The Reserves At Mill Farm</t>
  </si>
  <si>
    <t>The Reserves At Storm Lake</t>
  </si>
  <si>
    <t>Alice Place At Waukee</t>
  </si>
  <si>
    <t>Ligutti Tower</t>
  </si>
  <si>
    <t>10Th Street Townhomes</t>
  </si>
  <si>
    <t>Newton Senior Residence</t>
  </si>
  <si>
    <t>Columbus Junction Park</t>
  </si>
  <si>
    <t>Community Plaza Apartments</t>
  </si>
  <si>
    <t>Prairie Ridge</t>
  </si>
  <si>
    <t>Marshalltown Senior Residences</t>
  </si>
  <si>
    <t>1400 Block Of 4Th Ave Se Revitalization</t>
  </si>
  <si>
    <t>The Mead (Rose Apts Rehab Project)</t>
  </si>
  <si>
    <t>3Rd Ave Single Family Homes Rehab</t>
  </si>
  <si>
    <t>Fairfield Park I Apartments</t>
  </si>
  <si>
    <t>Regency Villa Apartments</t>
  </si>
  <si>
    <t>Prairie Heights</t>
  </si>
  <si>
    <t>Kingston Village</t>
  </si>
  <si>
    <t>Hilldale Estates</t>
  </si>
  <si>
    <t>The Reserves At Briarwood</t>
  </si>
  <si>
    <t>The Reserves At Ironwood</t>
  </si>
  <si>
    <t>Hotel President</t>
  </si>
  <si>
    <t>Villas At Fox Pointe</t>
  </si>
  <si>
    <t>United Manor</t>
  </si>
  <si>
    <t>Spaulding Lofts</t>
  </si>
  <si>
    <t>Commonwealth Senior Apartments</t>
  </si>
  <si>
    <t>The Housing Fellowship Affordable Rental</t>
  </si>
  <si>
    <t>Neicac Single Family Rental 2014</t>
  </si>
  <si>
    <t>Southern Pointe</t>
  </si>
  <si>
    <t>Canterbury Heights</t>
  </si>
  <si>
    <t>Mlk Crossing Senior Apartments</t>
  </si>
  <si>
    <t>Blairs Ferry Senior</t>
  </si>
  <si>
    <t>The Arbor At Lindale Trail</t>
  </si>
  <si>
    <t>Hamlin Bell Senior Housing</t>
  </si>
  <si>
    <t>Willis Avenue Apartments</t>
  </si>
  <si>
    <t>Centerville Senior Lofts</t>
  </si>
  <si>
    <t>Keokuk Senior Lofts</t>
  </si>
  <si>
    <t>Southridge Senior Lofts</t>
  </si>
  <si>
    <t>Fort Des Moines</t>
  </si>
  <si>
    <t>Castlewood Apartments</t>
  </si>
  <si>
    <t>Lafayette Square</t>
  </si>
  <si>
    <t>Goldfinch Grove</t>
  </si>
  <si>
    <t>Washington Court (Des Moines)</t>
  </si>
  <si>
    <t>North Stone Apartments</t>
  </si>
  <si>
    <t>Bluffs Towers Apartments</t>
  </si>
  <si>
    <t>Villas At Meadow Springs</t>
  </si>
  <si>
    <t>Harrison Lofts (Muscatine)</t>
  </si>
  <si>
    <t>Corinthian Gardens</t>
  </si>
  <si>
    <t>Coral Ridge Apartments</t>
  </si>
  <si>
    <t>Diamond Senior Apartments Of Iowa City</t>
  </si>
  <si>
    <t>Steamboat Landing</t>
  </si>
  <si>
    <t>4Th Avenue Lofts</t>
  </si>
  <si>
    <t>Crestwood Ridge Apartments</t>
  </si>
  <si>
    <t>Legacy Park</t>
  </si>
  <si>
    <t>Neicac Affordable Homes 2016</t>
  </si>
  <si>
    <t>The Housing Fellowship Chdo Acquisition</t>
  </si>
  <si>
    <t>Court View Apartments</t>
  </si>
  <si>
    <t>Waverly Historic Lofts</t>
  </si>
  <si>
    <t>The Aberdeen Apartments</t>
  </si>
  <si>
    <t>Libertad Des Moines</t>
  </si>
  <si>
    <t>Ashton Flats</t>
  </si>
  <si>
    <t>Washington Apartments</t>
  </si>
  <si>
    <t>Alice Place At Boone</t>
  </si>
  <si>
    <t>Marquette Hall</t>
  </si>
  <si>
    <t>Sonoma Square</t>
  </si>
  <si>
    <t>Cypress Lofts</t>
  </si>
  <si>
    <t>Fifteenth Street Apartments</t>
  </si>
  <si>
    <t>Pheasant Ridge</t>
  </si>
  <si>
    <t>Esw Apartments</t>
  </si>
  <si>
    <t>Fuse-Housing First</t>
  </si>
  <si>
    <t>The Everett</t>
  </si>
  <si>
    <t>Urban Crossing Apartments</t>
  </si>
  <si>
    <t>Hotel Maytag</t>
  </si>
  <si>
    <t>Elevate At Jordan Creek</t>
  </si>
  <si>
    <t>Washington Senior Apts</t>
  </si>
  <si>
    <t>Don Dufoe Apts</t>
  </si>
  <si>
    <t>Rosewood Apts</t>
  </si>
  <si>
    <t>Lantern Park Apts (Hampton)</t>
  </si>
  <si>
    <t>Lantern Park Apts (Waverly)</t>
  </si>
  <si>
    <t>Viking Village Apts</t>
  </si>
  <si>
    <t>Norwalk Park Apts</t>
  </si>
  <si>
    <t>Baxter Park Apts</t>
  </si>
  <si>
    <t>Grimes Park I</t>
  </si>
  <si>
    <t>Candleridge Apts Of Perry</t>
  </si>
  <si>
    <t>Montrose Senior Apts</t>
  </si>
  <si>
    <t>18 And 20 Se Kenyon</t>
  </si>
  <si>
    <t>12 And 14 Se Kenyon</t>
  </si>
  <si>
    <t>Eastgate Apts</t>
  </si>
  <si>
    <t>Osceola Estates</t>
  </si>
  <si>
    <t>Parkview Apts</t>
  </si>
  <si>
    <t>Cypress Pointe Apts I</t>
  </si>
  <si>
    <t>Lawlor And Garvey Places</t>
  </si>
  <si>
    <t>Village At Nine 23 I</t>
  </si>
  <si>
    <t>Candleridge Apts Of Runnells</t>
  </si>
  <si>
    <t>Dakota Apts</t>
  </si>
  <si>
    <t>Lenox Park Apts</t>
  </si>
  <si>
    <t>Lantern Park Apts (Clarion)</t>
  </si>
  <si>
    <t>Wapsie Valley Apts</t>
  </si>
  <si>
    <t>Harbor Crest Apts (Fairview Village V)</t>
  </si>
  <si>
    <t>Valley View Apts-Mcgregor</t>
  </si>
  <si>
    <t>Crestview Apts</t>
  </si>
  <si>
    <t>Railroad Street Housing</t>
  </si>
  <si>
    <t>Grinnell Estates</t>
  </si>
  <si>
    <t>Whispering Pines Apartments</t>
  </si>
  <si>
    <t>Prairie City Park Apts</t>
  </si>
  <si>
    <t>Westview Village Apts</t>
  </si>
  <si>
    <t>Lake Plaza Apts</t>
  </si>
  <si>
    <t>Le Grand Village</t>
  </si>
  <si>
    <t>Parkersburg Village Apts</t>
  </si>
  <si>
    <t>Lantern Park Apts (Tama)</t>
  </si>
  <si>
    <t>Lantern Park Apts (Osage)</t>
  </si>
  <si>
    <t>Candleridge Apts Of Waukee</t>
  </si>
  <si>
    <t>Candleridge Apts Of Bondurant</t>
  </si>
  <si>
    <t>Edgewood Apts</t>
  </si>
  <si>
    <t>Eastland Park Senior Apts</t>
  </si>
  <si>
    <t>Southridge Sr. Residences</t>
  </si>
  <si>
    <t>Westwood Apts</t>
  </si>
  <si>
    <t>Bishop'S Block Apts</t>
  </si>
  <si>
    <t>Sunrise Villa Apts</t>
  </si>
  <si>
    <t>Marengo Park Apartments</t>
  </si>
  <si>
    <t>Willowbrook Apts</t>
  </si>
  <si>
    <t>Highland Estates</t>
  </si>
  <si>
    <t>Cloveridge Apts</t>
  </si>
  <si>
    <t>Meadowbrook Apts</t>
  </si>
  <si>
    <t>Newton Plaza Apts</t>
  </si>
  <si>
    <t>Crestview Of Marshalltown</t>
  </si>
  <si>
    <t>Westwood Park Apts</t>
  </si>
  <si>
    <t>Eaglewood Park Apts</t>
  </si>
  <si>
    <t>Applewood I</t>
  </si>
  <si>
    <t>Centennial Place I</t>
  </si>
  <si>
    <t>Hillcrest Apts</t>
  </si>
  <si>
    <t>Blairs Ferry Limited</t>
  </si>
  <si>
    <t>Valley View Apts-Cedar Rapids</t>
  </si>
  <si>
    <t>Briarwood Apts</t>
  </si>
  <si>
    <t>National Biscuit Co Flats</t>
  </si>
  <si>
    <t>Hunter'S Run Apts</t>
  </si>
  <si>
    <t>Southern Hills Apts</t>
  </si>
  <si>
    <t>The Bluffs Apts</t>
  </si>
  <si>
    <t>Evergreen Estates I</t>
  </si>
  <si>
    <t>Prestwick Apts</t>
  </si>
  <si>
    <t>North Front Park Apts</t>
  </si>
  <si>
    <t>Aossey Place</t>
  </si>
  <si>
    <t>Silver Lake Apts</t>
  </si>
  <si>
    <t>Cedar Crest/Hickory Place</t>
  </si>
  <si>
    <t>Seneca Place</t>
  </si>
  <si>
    <t>Cedar Manor Apts</t>
  </si>
  <si>
    <t>Prairieview Manor Apts</t>
  </si>
  <si>
    <t>Pheasant Run Apts I (Dewitt)</t>
  </si>
  <si>
    <t>Northridge Apts</t>
  </si>
  <si>
    <t>Countryside Village Of Manchester</t>
  </si>
  <si>
    <t>Creston Plaza Apts I</t>
  </si>
  <si>
    <t>Bishop Hill Apts</t>
  </si>
  <si>
    <t>Fox Meadows Apts</t>
  </si>
  <si>
    <t>Brookside Senior Apts</t>
  </si>
  <si>
    <t>Chesapeake Apts</t>
  </si>
  <si>
    <t>Brookridge Apts</t>
  </si>
  <si>
    <t>Garden Village Apts</t>
  </si>
  <si>
    <t>Ehdg Apts</t>
  </si>
  <si>
    <t>Wc Stokes Estates</t>
  </si>
  <si>
    <t>Woodland Heights Apts</t>
  </si>
  <si>
    <t>Drake Schauland Apts</t>
  </si>
  <si>
    <t>Woodridge Apts</t>
  </si>
  <si>
    <t>Country Club Apts</t>
  </si>
  <si>
    <t>Madison Heights Apts</t>
  </si>
  <si>
    <t>Parkwild Apts</t>
  </si>
  <si>
    <t>Venbury Trail Apartments</t>
  </si>
  <si>
    <t>Wagon Wheel Senior Housing</t>
  </si>
  <si>
    <t>Washington Court Apts (Decorah)</t>
  </si>
  <si>
    <t>Oakbrook Apts</t>
  </si>
  <si>
    <t>Oakland Park Apts</t>
  </si>
  <si>
    <t>Meadow Run Apts</t>
  </si>
  <si>
    <t>Featherstone Apartments</t>
  </si>
  <si>
    <t>Northwood Court Apts</t>
  </si>
  <si>
    <t>Hartland Apts</t>
  </si>
  <si>
    <t>Century Plaza Apts</t>
  </si>
  <si>
    <t>Lakewood Court Apts</t>
  </si>
  <si>
    <t>Woodbury Park Apartments</t>
  </si>
  <si>
    <t>Maplecrest Apts</t>
  </si>
  <si>
    <t>Twin Oaks Manor</t>
  </si>
  <si>
    <t>Marsh Place Apts</t>
  </si>
  <si>
    <t>Boone Sundance Apts</t>
  </si>
  <si>
    <t>Newton Sundance Apts</t>
  </si>
  <si>
    <t>Marshalltown Sundance Apts</t>
  </si>
  <si>
    <t>Concord Terrace</t>
  </si>
  <si>
    <t>Highland Park I</t>
  </si>
  <si>
    <t>Eagle Bluff Phase I</t>
  </si>
  <si>
    <t>Prairie Rose</t>
  </si>
  <si>
    <t>Pinnacle Apts Of Sioux City</t>
  </si>
  <si>
    <t>Starview Apartments</t>
  </si>
  <si>
    <t>Cumberland House</t>
  </si>
  <si>
    <t>Regency Heights Senior Residences</t>
  </si>
  <si>
    <t>Lyn Circle Townhomes</t>
  </si>
  <si>
    <t>Candle Ridge Apts</t>
  </si>
  <si>
    <t>Atlantic Sundance Apartments</t>
  </si>
  <si>
    <t>Forest View Apts</t>
  </si>
  <si>
    <t>West Field Apts</t>
  </si>
  <si>
    <t>Ridge View Apartments</t>
  </si>
  <si>
    <t>Gateway Apts</t>
  </si>
  <si>
    <t>Shady Creek Apts</t>
  </si>
  <si>
    <t>Pheasant Hollow Apartments</t>
  </si>
  <si>
    <t>Pheasant Run Apts (Iowa Falls)</t>
  </si>
  <si>
    <t>Hurst Apartments Phase I</t>
  </si>
  <si>
    <t>Cottage Grove</t>
  </si>
  <si>
    <t>Kromer Flats Apartments</t>
  </si>
  <si>
    <t>White Tail Run</t>
  </si>
  <si>
    <t>Windsor Ridge</t>
  </si>
  <si>
    <t>Winngate Village Apts</t>
  </si>
  <si>
    <t>Deer Ridge Apts I</t>
  </si>
  <si>
    <t>Countryside Of Clinton</t>
  </si>
  <si>
    <t>Meadow Lake Apts</t>
  </si>
  <si>
    <t>Shire Apts</t>
  </si>
  <si>
    <t>Martin Tower</t>
  </si>
  <si>
    <t>Lexington Square Apts</t>
  </si>
  <si>
    <t>South Summit Apts III</t>
  </si>
  <si>
    <t>Deer Ridge III Apartments</t>
  </si>
  <si>
    <t>Parkside East III Apartments</t>
  </si>
  <si>
    <t>Marycrest Senior Campus III</t>
  </si>
  <si>
    <t>Windfield West III Apartments</t>
  </si>
  <si>
    <t>Canterbury Park III</t>
  </si>
  <si>
    <t>Applewood III</t>
  </si>
  <si>
    <t>Melbourne Apartments III</t>
  </si>
  <si>
    <t>Manchester Park III</t>
  </si>
  <si>
    <t>Regency Heights II Senior Residence</t>
  </si>
  <si>
    <t>Parkside East II Apartments</t>
  </si>
  <si>
    <t>Windfield West II Apartments</t>
  </si>
  <si>
    <t>Deer Ridge II Apartments</t>
  </si>
  <si>
    <t>Northridge Apts II</t>
  </si>
  <si>
    <t>Pebble Creek Apts Phase II</t>
  </si>
  <si>
    <t>Marycrest Senior Campus II</t>
  </si>
  <si>
    <t>Canterbury Park II Apartments</t>
  </si>
  <si>
    <t>Hurst Apartments Phase II</t>
  </si>
  <si>
    <t>Meadow Crest Phase II</t>
  </si>
  <si>
    <t>Lake Plaza Apartments Phase II</t>
  </si>
  <si>
    <t>Creston Plaza Apts II</t>
  </si>
  <si>
    <t>Cedar Manor Apartments II</t>
  </si>
  <si>
    <t>Jefferson Point II</t>
  </si>
  <si>
    <t>Willow Bend II Apartments</t>
  </si>
  <si>
    <t>Cross Creek Apartments Phase II</t>
  </si>
  <si>
    <t>Homes Of Oakridge Phase II</t>
  </si>
  <si>
    <t>Chapel Ridge West II</t>
  </si>
  <si>
    <t>Rd Preservation II</t>
  </si>
  <si>
    <t>South View Senior Apts II</t>
  </si>
  <si>
    <t>Mlk Brickstone II</t>
  </si>
  <si>
    <t>Norwalk &amp; Grimes Parks II</t>
  </si>
  <si>
    <t>Marion Manor II</t>
  </si>
  <si>
    <t>Melbourne Apartments II</t>
  </si>
  <si>
    <t>Fairmount Pines Phase II</t>
  </si>
  <si>
    <t>Call Terminal II</t>
  </si>
  <si>
    <t>Fairfield Park II Apartments</t>
  </si>
  <si>
    <t>Legacy Manor Of Mason City II</t>
  </si>
  <si>
    <t>Neicac Affordable Housing Phase VII</t>
  </si>
  <si>
    <t>Manchester Park Apts II</t>
  </si>
  <si>
    <t>Ashbrooke Phase II</t>
  </si>
  <si>
    <t>Cypress Pointe Apts II</t>
  </si>
  <si>
    <t>Candleridge Apts Of Perry II</t>
  </si>
  <si>
    <t>Village At Nine 23 II</t>
  </si>
  <si>
    <t>Candleridge Apts Of Waukee II</t>
  </si>
  <si>
    <t>Country Hill II Apts</t>
  </si>
  <si>
    <t>Applewood Senior Apts II</t>
  </si>
  <si>
    <t>The Bluffs Apts Phase II</t>
  </si>
  <si>
    <t>Evergreen Estates II</t>
  </si>
  <si>
    <t>Pheasant Run Apts II (Dewitt)</t>
  </si>
  <si>
    <t>Chesapeake Apts Phase II</t>
  </si>
  <si>
    <t>Parkwild II</t>
  </si>
  <si>
    <t>Southbrook Green II Apartments</t>
  </si>
  <si>
    <t>Highland Park II</t>
  </si>
  <si>
    <t>Eagle Bluff Apts Phase II</t>
  </si>
  <si>
    <t>Brookside Sr Housing II</t>
  </si>
  <si>
    <t>Southern Hills Apts Phase II</t>
  </si>
  <si>
    <t>Meadow Wood Of Carroll Phase II</t>
  </si>
  <si>
    <t>RIVerside Estates</t>
  </si>
  <si>
    <t>RIVer Oaks</t>
  </si>
  <si>
    <t>RIVerbend Duplexes</t>
  </si>
  <si>
    <t>South Summit Apts IV</t>
  </si>
  <si>
    <t>RIVer Birch Eto</t>
  </si>
  <si>
    <t>RIVer City Apts</t>
  </si>
  <si>
    <t>Prime LIVing Apartments</t>
  </si>
  <si>
    <t>Van Fossen Square (Adel Assist. LIVing)</t>
  </si>
  <si>
    <t>Dunlap Assisted LIVing</t>
  </si>
  <si>
    <t>Lamoni Assisted LIVing</t>
  </si>
  <si>
    <t>Odebolt Assisted LIVing</t>
  </si>
  <si>
    <t>Panora Assisted LIVing</t>
  </si>
  <si>
    <t>Marycrest Senior Campus IV</t>
  </si>
  <si>
    <t>RIVerwalk Lofts</t>
  </si>
  <si>
    <t>North Liberty LIVing Center</t>
  </si>
  <si>
    <t>Ymca SupportIVe Housing</t>
  </si>
  <si>
    <t>Par LIVing</t>
  </si>
  <si>
    <t>RIVerpoint Lofts</t>
  </si>
  <si>
    <t>OlIVe Street Brickstone</t>
  </si>
  <si>
    <t>UnIVercity Neighborhood</t>
  </si>
  <si>
    <t>Baker Creek Senior LIVing I</t>
  </si>
  <si>
    <t>Lease- Affordable LIVing Apartments</t>
  </si>
  <si>
    <t>RIVer West Apartments</t>
  </si>
  <si>
    <t>Applewood IV</t>
  </si>
  <si>
    <t>The Brickstones At RIVerbend</t>
  </si>
  <si>
    <t>RIVereast Apartments</t>
  </si>
  <si>
    <t>Maple RIVer Apts</t>
  </si>
  <si>
    <t>IVy Apartments</t>
  </si>
  <si>
    <t>Davenport Housing  IV LP</t>
  </si>
  <si>
    <t>Parkside East  IV Apartments</t>
  </si>
  <si>
    <t>Parkside East  IV Limited Partnership</t>
  </si>
  <si>
    <t>Deer Ridge  IV Apartments</t>
  </si>
  <si>
    <t>Deer Ridge  IV LP</t>
  </si>
  <si>
    <t>Canterbury Park  IV Apartments</t>
  </si>
  <si>
    <t>Canterbury  IV Limited Partnership</t>
  </si>
  <si>
    <t>Dubuque Sr Housing  IV LLC</t>
  </si>
  <si>
    <t>RD Preservation  IV LLLP</t>
  </si>
  <si>
    <t>Applewood  IV LLC</t>
  </si>
  <si>
    <t>Winterset  IV LP</t>
  </si>
  <si>
    <t>Francis Housing LLLP</t>
  </si>
  <si>
    <t>314 RandoLPh</t>
  </si>
  <si>
    <t>Greenview Terrace (Tama Sr Housing LP)</t>
  </si>
  <si>
    <t>ryan@perenniaLProperties.com</t>
  </si>
  <si>
    <t>ted.oswald@tLPropertiesllc.com</t>
  </si>
  <si>
    <t>Knoxville Iha Senior Housing LP</t>
  </si>
  <si>
    <t>Des Moines Greystone Homes LP</t>
  </si>
  <si>
    <t>Maple Grove Apts (North Star W H LP 1)</t>
  </si>
  <si>
    <t>Arbor Oak Apts (North Star W H LP 2)</t>
  </si>
  <si>
    <t>50266-0000</t>
  </si>
  <si>
    <t>55104-3825</t>
  </si>
  <si>
    <t>68069-0000</t>
  </si>
  <si>
    <t>06831-0000</t>
  </si>
  <si>
    <t>50309-1908</t>
  </si>
  <si>
    <t>51101-0000</t>
  </si>
  <si>
    <t>52244-1226</t>
  </si>
  <si>
    <t>68526-0000</t>
  </si>
  <si>
    <t>85014-0000</t>
  </si>
  <si>
    <t>50321-0000</t>
  </si>
  <si>
    <t>80202-0000</t>
  </si>
  <si>
    <t>51301-0000</t>
  </si>
  <si>
    <t>52240-4501</t>
  </si>
  <si>
    <t>50320-0000</t>
  </si>
  <si>
    <t>52101-0000</t>
  </si>
  <si>
    <t>50303-0000</t>
  </si>
  <si>
    <t>52632-2632</t>
  </si>
  <si>
    <t>50312-0000</t>
  </si>
  <si>
    <t>68114-0000</t>
  </si>
  <si>
    <t>55902-0000</t>
  </si>
  <si>
    <t>50309-0000</t>
  </si>
  <si>
    <t>52806-0000</t>
  </si>
  <si>
    <t>50501-0000</t>
  </si>
  <si>
    <t>52003-2003</t>
  </si>
  <si>
    <t>50314-0000</t>
  </si>
  <si>
    <t>53045-6194</t>
  </si>
  <si>
    <t>50704-1623</t>
  </si>
  <si>
    <t>52404-0140</t>
  </si>
  <si>
    <t>52302-0000</t>
  </si>
  <si>
    <t>51031-0000</t>
  </si>
  <si>
    <t>68137-0000</t>
  </si>
  <si>
    <t>46202-6202</t>
  </si>
  <si>
    <t>50703-0000</t>
  </si>
  <si>
    <t>53214-0000</t>
  </si>
  <si>
    <t>55104-0000</t>
  </si>
  <si>
    <t>52002-9673</t>
  </si>
  <si>
    <t>50158-0000</t>
  </si>
  <si>
    <t>52807-0000</t>
  </si>
  <si>
    <t>52002-0000</t>
  </si>
  <si>
    <t>55372-2927</t>
  </si>
  <si>
    <t>60602-0602</t>
  </si>
  <si>
    <t>52001-0000</t>
  </si>
  <si>
    <t>52632-0000</t>
  </si>
  <si>
    <t>53045-0000</t>
  </si>
  <si>
    <t>50266-2520</t>
  </si>
  <si>
    <t>55415-1132</t>
  </si>
  <si>
    <t>57103-0000</t>
  </si>
  <si>
    <t>50266-0266</t>
  </si>
  <si>
    <t>52761-0000</t>
  </si>
  <si>
    <t>52556-0000</t>
  </si>
  <si>
    <t>68118-0000</t>
  </si>
  <si>
    <t>52001-2001</t>
  </si>
  <si>
    <t>52627-0000</t>
  </si>
  <si>
    <t>52625-0000</t>
  </si>
  <si>
    <t>52601-0000</t>
  </si>
  <si>
    <t>52601-4704</t>
  </si>
  <si>
    <t>52650-0000</t>
  </si>
  <si>
    <t>52404-0000</t>
  </si>
  <si>
    <t>52240-0000</t>
  </si>
  <si>
    <t>50266-8212</t>
  </si>
  <si>
    <t>50321-0321</t>
  </si>
  <si>
    <t>52732-0000</t>
  </si>
  <si>
    <t>50677-0000</t>
  </si>
  <si>
    <t>51501-0000</t>
  </si>
  <si>
    <t>64114-0000</t>
  </si>
  <si>
    <t>55401-0000</t>
  </si>
  <si>
    <t>50109-0000</t>
  </si>
  <si>
    <t>50314-0314</t>
  </si>
  <si>
    <t>50312-3407</t>
  </si>
  <si>
    <t>68105-0000</t>
  </si>
  <si>
    <t>52722-0000</t>
  </si>
  <si>
    <t>46032-0000</t>
  </si>
  <si>
    <t>55441-2644</t>
  </si>
  <si>
    <t>62341-0000</t>
  </si>
  <si>
    <t>52641-0000</t>
  </si>
  <si>
    <t>52333-0000</t>
  </si>
  <si>
    <t>50472-0000</t>
  </si>
  <si>
    <t>92264-0000</t>
  </si>
  <si>
    <t>50266-6505</t>
  </si>
  <si>
    <t>50517-0000</t>
  </si>
  <si>
    <t>55116-2311</t>
  </si>
  <si>
    <t>46814-0000</t>
  </si>
  <si>
    <t>55423-4084</t>
  </si>
  <si>
    <t>53718-0000</t>
  </si>
  <si>
    <t>50309-1720</t>
  </si>
  <si>
    <t>60062-0000</t>
  </si>
  <si>
    <t>50604-0000</t>
  </si>
  <si>
    <t>61103-7203</t>
  </si>
  <si>
    <t>51579-0000</t>
  </si>
  <si>
    <t>45069-0000</t>
  </si>
  <si>
    <t>60712-3619</t>
  </si>
  <si>
    <t>50266-8147</t>
  </si>
  <si>
    <t>66214-0000</t>
  </si>
  <si>
    <t>64111-0000</t>
  </si>
  <si>
    <t>50131-0000</t>
  </si>
  <si>
    <t>50325-0000</t>
  </si>
  <si>
    <t>51342-0519</t>
  </si>
  <si>
    <t>51058-1124</t>
  </si>
  <si>
    <t>53562-3286</t>
  </si>
  <si>
    <t>44114-1310</t>
  </si>
  <si>
    <t>51501-0827</t>
  </si>
  <si>
    <t>50466-8042</t>
  </si>
  <si>
    <t>50021-0000</t>
  </si>
  <si>
    <t>85267-1106</t>
  </si>
  <si>
    <t>67401-7401</t>
  </si>
  <si>
    <t>56172-0000</t>
  </si>
  <si>
    <t>51301-0473</t>
  </si>
  <si>
    <t>66202-0000</t>
  </si>
  <si>
    <t>68505-3076</t>
  </si>
  <si>
    <t>56387-0727</t>
  </si>
  <si>
    <t>61704-7919</t>
  </si>
  <si>
    <t>67401-0000</t>
  </si>
  <si>
    <t>90045-0000</t>
  </si>
  <si>
    <t>52742-1127</t>
  </si>
  <si>
    <t>46204-1838</t>
  </si>
  <si>
    <t>46204-1817</t>
  </si>
  <si>
    <t>60607-0000</t>
  </si>
  <si>
    <t>53142-4955</t>
  </si>
  <si>
    <t>92614-2614</t>
  </si>
  <si>
    <t>50273-1540</t>
  </si>
  <si>
    <t>50323-0000</t>
  </si>
  <si>
    <t>51503-9070</t>
  </si>
  <si>
    <t>65804-5804</t>
  </si>
  <si>
    <t>50314-2314</t>
  </si>
  <si>
    <t>44114-1309</t>
  </si>
  <si>
    <t>55116-2694</t>
  </si>
  <si>
    <t>66202-4179</t>
  </si>
  <si>
    <t>51579-1262</t>
  </si>
  <si>
    <t>65803-2667</t>
  </si>
  <si>
    <t>50309-2505</t>
  </si>
  <si>
    <t>52401-1114</t>
  </si>
  <si>
    <t>60607-3534</t>
  </si>
  <si>
    <t>55441-0000</t>
  </si>
  <si>
    <t>52244-0000</t>
  </si>
  <si>
    <t>50309-0190</t>
  </si>
  <si>
    <t>50314-1000</t>
  </si>
  <si>
    <t>46143-6479</t>
  </si>
  <si>
    <t>52213-0000</t>
  </si>
  <si>
    <t>52162-0000</t>
  </si>
  <si>
    <t>50322-0000</t>
  </si>
  <si>
    <t>64106-0000</t>
  </si>
  <si>
    <t>50315-0000</t>
  </si>
  <si>
    <t>50636-0000</t>
  </si>
  <si>
    <t>65202-7688</t>
  </si>
  <si>
    <t>50511-0000</t>
  </si>
  <si>
    <t>50309-3993</t>
  </si>
  <si>
    <t>50124-0000</t>
  </si>
  <si>
    <t>52402-0000</t>
  </si>
  <si>
    <t>50301-0000</t>
  </si>
  <si>
    <t>50142-0000</t>
  </si>
  <si>
    <t>56001-0000</t>
  </si>
  <si>
    <t>60603-0000</t>
  </si>
  <si>
    <t>55415-0000</t>
  </si>
  <si>
    <t>50009-0000</t>
  </si>
  <si>
    <t>50311-0000</t>
  </si>
  <si>
    <t>50263-0263</t>
  </si>
  <si>
    <t>52804-0000</t>
  </si>
  <si>
    <t>64501-0000</t>
  </si>
  <si>
    <t>50601-0000</t>
  </si>
  <si>
    <t>52624-0000</t>
  </si>
  <si>
    <t>50345-6194</t>
  </si>
  <si>
    <t>85261-0000</t>
  </si>
  <si>
    <t>51106-0000</t>
  </si>
  <si>
    <t>68526-9639</t>
  </si>
  <si>
    <t>50704-4120</t>
  </si>
  <si>
    <t>Every 24 Months</t>
  </si>
  <si>
    <t>Every 36 Months</t>
  </si>
  <si>
    <t>Every 60 Months</t>
  </si>
  <si>
    <t>Adel</t>
  </si>
  <si>
    <t>Afton</t>
  </si>
  <si>
    <t>Ames</t>
  </si>
  <si>
    <t>Asbury</t>
  </si>
  <si>
    <t>Atlantic</t>
  </si>
  <si>
    <t>Baxter</t>
  </si>
  <si>
    <t>Bellevue</t>
  </si>
  <si>
    <t>Bondurant</t>
  </si>
  <si>
    <t>Cedar Falls</t>
  </si>
  <si>
    <t>Centerville</t>
  </si>
  <si>
    <t>Clarinda</t>
  </si>
  <si>
    <t>Clarion</t>
  </si>
  <si>
    <t>Columbus Junction</t>
  </si>
  <si>
    <t>Coralville</t>
  </si>
  <si>
    <t>Cresco</t>
  </si>
  <si>
    <t>Creston</t>
  </si>
  <si>
    <t>De Witt</t>
  </si>
  <si>
    <t>Denison</t>
  </si>
  <si>
    <t>Dunlap</t>
  </si>
  <si>
    <t>Eagle Grove</t>
  </si>
  <si>
    <t>Emmetsburg</t>
  </si>
  <si>
    <t>Estherville</t>
  </si>
  <si>
    <t>Evansdale</t>
  </si>
  <si>
    <t>Fairfax</t>
  </si>
  <si>
    <t>Forest City</t>
  </si>
  <si>
    <t>Garnavillo</t>
  </si>
  <si>
    <t>Glidden</t>
  </si>
  <si>
    <t>Grimes</t>
  </si>
  <si>
    <t>Grinnell</t>
  </si>
  <si>
    <t>Grundy Center</t>
  </si>
  <si>
    <t>Hampton</t>
  </si>
  <si>
    <t>Harlan</t>
  </si>
  <si>
    <t>Hartley</t>
  </si>
  <si>
    <t>Hawarden</t>
  </si>
  <si>
    <t>Hull</t>
  </si>
  <si>
    <t>Ida Grove</t>
  </si>
  <si>
    <t>Independence</t>
  </si>
  <si>
    <t>Iowa Falls</t>
  </si>
  <si>
    <t>Kellogg</t>
  </si>
  <si>
    <t>Knoxville</t>
  </si>
  <si>
    <t>La Porte City</t>
  </si>
  <si>
    <t>Lake City</t>
  </si>
  <si>
    <t>Lake Mills</t>
  </si>
  <si>
    <t>Lake Park</t>
  </si>
  <si>
    <t>Lamoni</t>
  </si>
  <si>
    <t>Le Claire</t>
  </si>
  <si>
    <t>Le Grand</t>
  </si>
  <si>
    <t>Le Mars</t>
  </si>
  <si>
    <t>Lenox</t>
  </si>
  <si>
    <t>Logan</t>
  </si>
  <si>
    <t>Manchester</t>
  </si>
  <si>
    <t>Manson</t>
  </si>
  <si>
    <t>Maquoketa</t>
  </si>
  <si>
    <t>Marengo</t>
  </si>
  <si>
    <t>Mcgregor</t>
  </si>
  <si>
    <t>Milford</t>
  </si>
  <si>
    <t>Mitchellville</t>
  </si>
  <si>
    <t>Monroe</t>
  </si>
  <si>
    <t>Montrose</t>
  </si>
  <si>
    <t>Mount Pleasant</t>
  </si>
  <si>
    <t>Mount Vernon</t>
  </si>
  <si>
    <t>Moville</t>
  </si>
  <si>
    <t>Nevada</t>
  </si>
  <si>
    <t>Newton</t>
  </si>
  <si>
    <t>North Liberty</t>
  </si>
  <si>
    <t>Norwalk</t>
  </si>
  <si>
    <t>Oakland</t>
  </si>
  <si>
    <t>Odebolt</t>
  </si>
  <si>
    <t>Onawa</t>
  </si>
  <si>
    <t>Orange City</t>
  </si>
  <si>
    <t>Osage</t>
  </si>
  <si>
    <t>Panora</t>
  </si>
  <si>
    <t>Parkersburg</t>
  </si>
  <si>
    <t>Pella</t>
  </si>
  <si>
    <t>Peosta</t>
  </si>
  <si>
    <t>Perry</t>
  </si>
  <si>
    <t>Pleasant Hill</t>
  </si>
  <si>
    <t>Prairie City</t>
  </si>
  <si>
    <t>Rockwell</t>
  </si>
  <si>
    <t>Runnells</t>
  </si>
  <si>
    <t>Sac City</t>
  </si>
  <si>
    <t>Sheldon</t>
  </si>
  <si>
    <t>Sibley</t>
  </si>
  <si>
    <t>Sioux Center</t>
  </si>
  <si>
    <t>Spirit Lake</t>
  </si>
  <si>
    <t>St. Ansgar</t>
  </si>
  <si>
    <t>State Center</t>
  </si>
  <si>
    <t>Storm Lake</t>
  </si>
  <si>
    <t>Strawberry Point</t>
  </si>
  <si>
    <t>Stuart</t>
  </si>
  <si>
    <t>Tipton</t>
  </si>
  <si>
    <t>Toledo</t>
  </si>
  <si>
    <t>Waukon</t>
  </si>
  <si>
    <t>Webb</t>
  </si>
  <si>
    <t>Webster City</t>
  </si>
  <si>
    <t>West Union</t>
  </si>
  <si>
    <t/>
  </si>
  <si>
    <t>Every 12 months</t>
  </si>
  <si>
    <t>18-13</t>
  </si>
  <si>
    <t>Hilltop II</t>
  </si>
  <si>
    <t>18-25</t>
  </si>
  <si>
    <t>Melbourne IV</t>
  </si>
  <si>
    <t>17-12</t>
  </si>
  <si>
    <t>Kim Buche</t>
  </si>
  <si>
    <t>(417) 720-1577</t>
  </si>
  <si>
    <t>3726 Hubbell</t>
  </si>
  <si>
    <t>New</t>
  </si>
  <si>
    <t>Hilltop II Limited Partnership</t>
  </si>
  <si>
    <t>5515 Southeast 14th St</t>
  </si>
  <si>
    <t>Melbourne Apartments IV LLLP</t>
  </si>
  <si>
    <t>4415 Southeast 14th St</t>
  </si>
  <si>
    <t>Libertad Des Moines, LLC</t>
  </si>
  <si>
    <t>18-03</t>
  </si>
  <si>
    <t>North Bay</t>
  </si>
  <si>
    <t>210 East Pierce Ave</t>
  </si>
  <si>
    <t>CHI North Bay, LLLP</t>
  </si>
  <si>
    <t>18-10</t>
  </si>
  <si>
    <t>Del Ray Ridge</t>
  </si>
  <si>
    <t>Del Ray Ridge LP</t>
  </si>
  <si>
    <t>18-30</t>
  </si>
  <si>
    <t>NEX</t>
  </si>
  <si>
    <t>IC Housing Group, LLC</t>
  </si>
  <si>
    <t>18-34</t>
  </si>
  <si>
    <t xml:space="preserve">Graceview Courtyard </t>
  </si>
  <si>
    <t>Immanuel</t>
  </si>
  <si>
    <t>Scott Bear</t>
  </si>
  <si>
    <t>402-829-2922</t>
  </si>
  <si>
    <t>Immanuel Elderly Housing II, LLC</t>
  </si>
  <si>
    <t>417-720-1577</t>
  </si>
  <si>
    <t>sbear@immanuel.com</t>
  </si>
  <si>
    <t xml:space="preserve"> NE </t>
  </si>
  <si>
    <t>68154-0000</t>
  </si>
  <si>
    <t>1044 N 115th St</t>
  </si>
  <si>
    <t>17-03</t>
  </si>
  <si>
    <t>Sunset Apartments</t>
  </si>
  <si>
    <t>118 E 21st St</t>
  </si>
  <si>
    <t>628 S. Dubuque St</t>
  </si>
  <si>
    <t>671 Nex Ave</t>
  </si>
  <si>
    <t>1681 College Rd</t>
  </si>
  <si>
    <t>Sunset Spencer, LLLP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</si>
</sst>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49" fontId="18" fillId="33" borderId="0" xfId="0" applyNumberFormat="1" applyFont="1" applyFill="1" applyAlignment="1">
      <alignment wrapText="1"/>
    </xf>
    <xf numFmtId="0" fontId="18" fillId="33" borderId="0" xfId="0" applyFont="1" applyFill="1" applyAlignment="1">
      <alignment wrapText="1"/>
    </xf>
    <xf numFmtId="49" fontId="19" fillId="33" borderId="0" xfId="0" applyNumberFormat="1" applyFont="1" applyFill="1"/>
    <xf numFmtId="0" fontId="18" fillId="33" borderId="0" xfId="0" applyFont="1" applyFill="1"/>
    <xf numFmtId="164" fontId="19" fillId="33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18" fillId="33" borderId="0" xfId="0" applyFont="1" applyFill="1" applyAlignment="1">
      <alignment horizontal="left"/>
    </xf>
    <xf numFmtId="0" fontId="18" fillId="33" borderId="0" xfId="0" applyFont="1" applyFill="1" applyAlignment="1">
      <alignment horizontal="left" wrapText="1"/>
    </xf>
    <xf numFmtId="0" fontId="18" fillId="33" borderId="0" xfId="0" applyFont="1" applyFill="1" applyAlignment="1">
      <alignment horizontal="center"/>
    </xf>
    <xf numFmtId="0" fontId="18" fillId="3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6" fontId="0" fillId="0" borderId="0" xfId="0" applyNumberFormat="1"/>
    <xf numFmtId="0" fontId="18" fillId="33" borderId="0" xfId="0" applyFont="1" applyFill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 x14ac:dyDescent="0.25"/>
  <cols>
    <col min="1" max="1" width="16.28515625" bestFit="1" customWidth="1"/>
    <col min="2" max="2" width="16.5703125" bestFit="1" customWidth="1"/>
    <col min="3" max="3" width="46.7109375" bestFit="1" customWidth="1"/>
    <col min="4" max="4" width="29.85546875" bestFit="1" customWidth="1"/>
    <col min="5" max="5" width="20.5703125" bestFit="1" customWidth="1"/>
    <col min="6" max="6" width="16.5703125" bestFit="1" customWidth="1"/>
    <col min="7" max="7" width="51" bestFit="1" customWidth="1"/>
    <col min="8" max="8" width="25.85546875" bestFit="1" customWidth="1"/>
    <col min="9" max="9" width="30.42578125" bestFit="1" customWidth="1"/>
    <col min="10" max="10" width="28" style="11" bestFit="1" customWidth="1"/>
    <col min="11" max="11" width="10.42578125" style="11" bestFit="1" customWidth="1"/>
    <col min="12" max="12" width="12.28515625" style="11" bestFit="1" customWidth="1"/>
    <col min="13" max="13" width="23" style="11" customWidth="1"/>
    <col min="14" max="14" width="21.42578125" style="15" bestFit="1" customWidth="1"/>
    <col min="15" max="15" width="24.7109375" bestFit="1" customWidth="1"/>
    <col min="16" max="16" width="47" bestFit="1" customWidth="1"/>
    <col min="17" max="17" width="24" bestFit="1" customWidth="1"/>
    <col min="18" max="18" width="28.5703125" bestFit="1" customWidth="1"/>
    <col min="19" max="19" width="16.5703125" bestFit="1" customWidth="1"/>
    <col min="20" max="20" width="16.42578125" bestFit="1" customWidth="1"/>
    <col min="21" max="21" width="12" bestFit="1" customWidth="1"/>
    <col min="22" max="22" width="15.28515625" style="6" bestFit="1" customWidth="1"/>
    <col min="23" max="23" width="39.85546875" bestFit="1" customWidth="1"/>
    <col min="24" max="24" width="33.42578125" bestFit="1" customWidth="1"/>
    <col min="25" max="25" width="28.5703125" bestFit="1" customWidth="1"/>
    <col min="26" max="26" width="30" bestFit="1" customWidth="1"/>
  </cols>
  <sheetData>
    <row r="1" spans="1:26" s="4" customFormat="1" ht="28.5" customHeight="1" x14ac:dyDescent="0.35">
      <c r="A1" s="3" t="s">
        <v>2317</v>
      </c>
      <c r="C1" s="5">
        <v>44223</v>
      </c>
      <c r="D1" s="3"/>
      <c r="F1" s="5"/>
      <c r="J1" s="9"/>
      <c r="K1" s="9"/>
      <c r="L1" s="9"/>
      <c r="M1" s="9"/>
      <c r="N1" s="13"/>
      <c r="V1" s="7"/>
    </row>
    <row r="2" spans="1:26" s="2" customFormat="1" ht="39.75" customHeight="1" x14ac:dyDescent="0.25">
      <c r="A2" s="1" t="s">
        <v>2301</v>
      </c>
      <c r="B2" s="2" t="s">
        <v>2302</v>
      </c>
      <c r="C2" s="2" t="s">
        <v>0</v>
      </c>
      <c r="D2" s="2" t="s">
        <v>2303</v>
      </c>
      <c r="E2" s="2" t="s">
        <v>1</v>
      </c>
      <c r="F2" s="2" t="s">
        <v>2</v>
      </c>
      <c r="G2" s="2" t="s">
        <v>2304</v>
      </c>
      <c r="H2" s="2" t="s">
        <v>2305</v>
      </c>
      <c r="I2" s="2" t="s">
        <v>2306</v>
      </c>
      <c r="J2" s="10" t="s">
        <v>2307</v>
      </c>
      <c r="K2" s="10" t="s">
        <v>2308</v>
      </c>
      <c r="L2" s="10" t="s">
        <v>3</v>
      </c>
      <c r="M2" s="10" t="s">
        <v>2309</v>
      </c>
      <c r="N2" s="10" t="s">
        <v>2310</v>
      </c>
      <c r="O2" s="2" t="s">
        <v>2311</v>
      </c>
      <c r="P2" s="2" t="s">
        <v>2312</v>
      </c>
      <c r="Q2" s="2" t="s">
        <v>2313</v>
      </c>
      <c r="R2" s="2" t="s">
        <v>4</v>
      </c>
      <c r="S2" s="2" t="s">
        <v>5</v>
      </c>
      <c r="T2" s="2" t="s">
        <v>6</v>
      </c>
      <c r="U2" s="2" t="s">
        <v>7</v>
      </c>
      <c r="V2" s="8" t="s">
        <v>8</v>
      </c>
      <c r="W2" s="2" t="s">
        <v>2314</v>
      </c>
      <c r="X2" s="2" t="s">
        <v>2315</v>
      </c>
      <c r="Y2" s="2" t="s">
        <v>9</v>
      </c>
      <c r="Z2" s="2" t="s">
        <v>2316</v>
      </c>
    </row>
    <row r="3" spans="1:26" x14ac:dyDescent="0.25">
      <c r="A3" t="str">
        <f>"04-38"</f>
        <v>04-38</v>
      </c>
      <c r="B3" t="s">
        <v>503</v>
      </c>
      <c r="C3" t="s">
        <v>2843</v>
      </c>
      <c r="D3" t="s">
        <v>504</v>
      </c>
      <c r="E3" t="s">
        <v>3052</v>
      </c>
      <c r="F3" t="s">
        <v>106</v>
      </c>
      <c r="G3" t="s">
        <v>55</v>
      </c>
      <c r="H3" t="s">
        <v>56</v>
      </c>
      <c r="I3" t="str">
        <f>"712-262-5965"</f>
        <v>712-262-5965</v>
      </c>
      <c r="J3" s="11">
        <v>1</v>
      </c>
      <c r="K3" s="11">
        <v>24</v>
      </c>
      <c r="L3" s="11">
        <v>24</v>
      </c>
      <c r="M3" s="11" t="s">
        <v>3049</v>
      </c>
      <c r="N3" s="14">
        <v>43546</v>
      </c>
      <c r="P3" t="s">
        <v>505</v>
      </c>
      <c r="Q3" t="s">
        <v>58</v>
      </c>
      <c r="R3" t="s">
        <v>59</v>
      </c>
      <c r="T3" t="s">
        <v>60</v>
      </c>
      <c r="U3" t="s">
        <v>18</v>
      </c>
      <c r="V3" s="6" t="s">
        <v>2888</v>
      </c>
      <c r="W3" t="s">
        <v>61</v>
      </c>
      <c r="X3" t="str">
        <f>"515-262-5965"</f>
        <v>515-262-5965</v>
      </c>
      <c r="Y3" t="s">
        <v>21</v>
      </c>
      <c r="Z3" t="s">
        <v>62</v>
      </c>
    </row>
    <row r="4" spans="1:26" x14ac:dyDescent="0.25">
      <c r="A4" t="str">
        <f>"10-10-256"</f>
        <v>10-10-256</v>
      </c>
      <c r="C4" t="s">
        <v>2512</v>
      </c>
      <c r="D4" t="s">
        <v>1191</v>
      </c>
      <c r="E4" t="s">
        <v>3052</v>
      </c>
      <c r="F4" t="s">
        <v>106</v>
      </c>
      <c r="G4" t="s">
        <v>107</v>
      </c>
      <c r="H4" t="s">
        <v>108</v>
      </c>
      <c r="I4" t="str">
        <f>"515-313-7306"</f>
        <v>515-313-7306</v>
      </c>
      <c r="J4" s="11">
        <v>6</v>
      </c>
      <c r="K4" s="11">
        <v>24</v>
      </c>
      <c r="L4" s="11">
        <v>23</v>
      </c>
      <c r="M4" s="11" t="s">
        <v>3050</v>
      </c>
      <c r="N4" s="14">
        <v>43658</v>
      </c>
      <c r="P4" t="s">
        <v>1192</v>
      </c>
      <c r="Q4" t="s">
        <v>1193</v>
      </c>
      <c r="R4" t="s">
        <v>1194</v>
      </c>
      <c r="T4" t="s">
        <v>1195</v>
      </c>
      <c r="U4" t="s">
        <v>1196</v>
      </c>
      <c r="V4" s="6" t="s">
        <v>2976</v>
      </c>
      <c r="W4" t="s">
        <v>1197</v>
      </c>
      <c r="X4" t="str">
        <f>"913-492-7800"</f>
        <v>913-492-7800</v>
      </c>
      <c r="Y4" t="s">
        <v>151</v>
      </c>
      <c r="Z4" t="s">
        <v>116</v>
      </c>
    </row>
    <row r="5" spans="1:26" x14ac:dyDescent="0.25">
      <c r="A5" t="str">
        <f>"10-10-257"</f>
        <v>10-10-257</v>
      </c>
      <c r="C5" t="s">
        <v>2513</v>
      </c>
      <c r="D5" t="s">
        <v>1198</v>
      </c>
      <c r="E5" t="s">
        <v>3053</v>
      </c>
      <c r="F5" t="s">
        <v>294</v>
      </c>
      <c r="G5" t="s">
        <v>107</v>
      </c>
      <c r="H5" t="s">
        <v>108</v>
      </c>
      <c r="I5" t="str">
        <f>"515-313-7306"</f>
        <v>515-313-7306</v>
      </c>
      <c r="J5" s="11">
        <v>6</v>
      </c>
      <c r="K5" s="11">
        <v>40</v>
      </c>
      <c r="L5" s="11">
        <v>38</v>
      </c>
      <c r="M5" s="11" t="s">
        <v>3050</v>
      </c>
      <c r="N5" s="14">
        <v>43661</v>
      </c>
      <c r="P5" t="s">
        <v>1199</v>
      </c>
      <c r="Q5" t="s">
        <v>145</v>
      </c>
      <c r="R5" t="s">
        <v>187</v>
      </c>
      <c r="T5" t="s">
        <v>60</v>
      </c>
      <c r="U5" t="s">
        <v>18</v>
      </c>
      <c r="V5" s="6" t="s">
        <v>2899</v>
      </c>
      <c r="W5" t="s">
        <v>148</v>
      </c>
      <c r="X5" t="str">
        <f>"712-580-5360"</f>
        <v>712-580-5360</v>
      </c>
      <c r="Y5" t="s">
        <v>151</v>
      </c>
      <c r="Z5" t="s">
        <v>116</v>
      </c>
    </row>
    <row r="6" spans="1:26" x14ac:dyDescent="0.25">
      <c r="A6" t="str">
        <f>"93-01"</f>
        <v>93-01</v>
      </c>
      <c r="C6" t="s">
        <v>2680</v>
      </c>
      <c r="D6" t="s">
        <v>1920</v>
      </c>
      <c r="E6" t="s">
        <v>1859</v>
      </c>
      <c r="F6" t="s">
        <v>1006</v>
      </c>
      <c r="G6" t="s">
        <v>1921</v>
      </c>
      <c r="H6" t="s">
        <v>1922</v>
      </c>
      <c r="I6" t="str">
        <f>"507-345-1290"</f>
        <v>507-345-1290</v>
      </c>
      <c r="J6" s="11">
        <v>1</v>
      </c>
      <c r="K6" s="11">
        <v>24</v>
      </c>
      <c r="L6" s="11">
        <v>24</v>
      </c>
      <c r="M6" s="11" t="s">
        <v>3051</v>
      </c>
      <c r="N6" s="14">
        <v>43738</v>
      </c>
      <c r="P6" t="s">
        <v>1923</v>
      </c>
      <c r="Q6" t="s">
        <v>1924</v>
      </c>
      <c r="R6" t="s">
        <v>1925</v>
      </c>
      <c r="S6" t="s">
        <v>1926</v>
      </c>
      <c r="T6" t="s">
        <v>1927</v>
      </c>
      <c r="U6" t="s">
        <v>31</v>
      </c>
      <c r="V6" s="6" t="s">
        <v>3034</v>
      </c>
      <c r="W6" t="s">
        <v>1928</v>
      </c>
      <c r="X6" t="str">
        <f>"507-345-1290"</f>
        <v>507-345-1290</v>
      </c>
      <c r="Z6" t="s">
        <v>103</v>
      </c>
    </row>
    <row r="7" spans="1:26" x14ac:dyDescent="0.25">
      <c r="A7" t="str">
        <f>"10-10-236"</f>
        <v>10-10-236</v>
      </c>
      <c r="C7" t="s">
        <v>2503</v>
      </c>
      <c r="D7" t="s">
        <v>1152</v>
      </c>
      <c r="E7" t="s">
        <v>1990</v>
      </c>
      <c r="F7" t="s">
        <v>202</v>
      </c>
      <c r="G7" t="s">
        <v>1153</v>
      </c>
      <c r="H7" t="s">
        <v>1154</v>
      </c>
      <c r="I7" t="str">
        <f>"513-964-1151"</f>
        <v>513-964-1151</v>
      </c>
      <c r="J7" s="11">
        <v>9</v>
      </c>
      <c r="K7" s="11">
        <v>50</v>
      </c>
      <c r="L7" s="11">
        <v>50</v>
      </c>
      <c r="M7" s="11" t="s">
        <v>3050</v>
      </c>
      <c r="N7" s="14">
        <v>43724</v>
      </c>
      <c r="P7" t="s">
        <v>1155</v>
      </c>
      <c r="Q7" t="s">
        <v>1156</v>
      </c>
      <c r="R7" t="s">
        <v>1157</v>
      </c>
      <c r="S7" t="s">
        <v>1158</v>
      </c>
      <c r="T7" t="s">
        <v>1159</v>
      </c>
      <c r="U7" t="s">
        <v>1160</v>
      </c>
      <c r="V7" s="6" t="s">
        <v>2973</v>
      </c>
      <c r="W7" t="s">
        <v>1161</v>
      </c>
      <c r="X7" t="str">
        <f>"513-964-1140"</f>
        <v>513-964-1140</v>
      </c>
      <c r="Y7" t="s">
        <v>21</v>
      </c>
      <c r="Z7" t="s">
        <v>103</v>
      </c>
    </row>
    <row r="8" spans="1:26" x14ac:dyDescent="0.25">
      <c r="A8" t="str">
        <f>"10-10-246"</f>
        <v>10-10-246</v>
      </c>
      <c r="C8" t="s">
        <v>2509</v>
      </c>
      <c r="D8" t="s">
        <v>1177</v>
      </c>
      <c r="E8" t="s">
        <v>1990</v>
      </c>
      <c r="F8" t="s">
        <v>202</v>
      </c>
      <c r="G8" t="s">
        <v>1153</v>
      </c>
      <c r="H8" t="s">
        <v>1154</v>
      </c>
      <c r="I8" t="str">
        <f>"513-964-1151"</f>
        <v>513-964-1151</v>
      </c>
      <c r="J8" s="11">
        <v>59</v>
      </c>
      <c r="K8" s="11">
        <v>59</v>
      </c>
      <c r="L8" s="11">
        <v>59</v>
      </c>
      <c r="M8" s="11" t="s">
        <v>3050</v>
      </c>
      <c r="N8" s="14">
        <v>43994</v>
      </c>
      <c r="P8" t="s">
        <v>1178</v>
      </c>
      <c r="Q8" t="s">
        <v>1156</v>
      </c>
      <c r="R8" t="s">
        <v>1157</v>
      </c>
      <c r="S8" t="s">
        <v>1158</v>
      </c>
      <c r="T8" t="s">
        <v>1159</v>
      </c>
      <c r="U8" t="s">
        <v>1160</v>
      </c>
      <c r="V8" s="6" t="s">
        <v>2973</v>
      </c>
      <c r="W8" t="s">
        <v>1161</v>
      </c>
      <c r="X8" t="str">
        <f>"513-964-1140"</f>
        <v>513-964-1140</v>
      </c>
      <c r="Y8" t="s">
        <v>21</v>
      </c>
      <c r="Z8" t="s">
        <v>103</v>
      </c>
    </row>
    <row r="9" spans="1:26" x14ac:dyDescent="0.25">
      <c r="A9" t="str">
        <f>"93-27"</f>
        <v>93-27</v>
      </c>
      <c r="C9" t="s">
        <v>2688</v>
      </c>
      <c r="D9" t="s">
        <v>1958</v>
      </c>
      <c r="E9" t="s">
        <v>1990</v>
      </c>
      <c r="F9" t="s">
        <v>202</v>
      </c>
      <c r="G9" t="s">
        <v>819</v>
      </c>
      <c r="H9" t="s">
        <v>820</v>
      </c>
      <c r="I9" t="str">
        <f>"515-689-8593"</f>
        <v>515-689-8593</v>
      </c>
      <c r="J9" s="11">
        <v>1</v>
      </c>
      <c r="K9" s="11">
        <v>24</v>
      </c>
      <c r="L9" s="11">
        <v>24</v>
      </c>
      <c r="M9" s="11" t="s">
        <v>3051</v>
      </c>
      <c r="N9" s="14">
        <v>43416</v>
      </c>
      <c r="P9" t="s">
        <v>1959</v>
      </c>
      <c r="Q9" t="s">
        <v>820</v>
      </c>
      <c r="R9" t="s">
        <v>822</v>
      </c>
      <c r="S9" t="s">
        <v>823</v>
      </c>
      <c r="T9" t="s">
        <v>824</v>
      </c>
      <c r="U9" t="s">
        <v>18</v>
      </c>
      <c r="V9" s="6" t="s">
        <v>2950</v>
      </c>
      <c r="W9" t="s">
        <v>2879</v>
      </c>
      <c r="X9" t="str">
        <f>"515-689-8593"</f>
        <v>515-689-8593</v>
      </c>
      <c r="Z9" t="s">
        <v>20</v>
      </c>
    </row>
    <row r="10" spans="1:26" x14ac:dyDescent="0.25">
      <c r="A10" t="str">
        <f>"94-12"</f>
        <v>94-12</v>
      </c>
      <c r="C10" t="s">
        <v>2695</v>
      </c>
      <c r="D10" t="s">
        <v>1993</v>
      </c>
      <c r="E10" t="s">
        <v>1990</v>
      </c>
      <c r="F10" t="s">
        <v>202</v>
      </c>
      <c r="G10" t="s">
        <v>1994</v>
      </c>
      <c r="H10" t="s">
        <v>1995</v>
      </c>
      <c r="I10" t="str">
        <f>"515-283-9095"</f>
        <v>515-283-9095</v>
      </c>
      <c r="J10" s="11">
        <v>4</v>
      </c>
      <c r="K10" s="11">
        <v>96</v>
      </c>
      <c r="L10" s="11">
        <v>96</v>
      </c>
      <c r="M10" s="11" t="s">
        <v>3051</v>
      </c>
      <c r="N10" s="14">
        <v>43453</v>
      </c>
      <c r="P10" t="s">
        <v>1996</v>
      </c>
      <c r="Q10" t="s">
        <v>1995</v>
      </c>
      <c r="R10" t="s">
        <v>1997</v>
      </c>
      <c r="T10" t="s">
        <v>60</v>
      </c>
      <c r="U10" t="s">
        <v>18</v>
      </c>
      <c r="V10" s="6" t="s">
        <v>3038</v>
      </c>
      <c r="W10" t="s">
        <v>1998</v>
      </c>
      <c r="X10" t="str">
        <f>"515-283-9095"</f>
        <v>515-283-9095</v>
      </c>
      <c r="Z10" t="s">
        <v>44</v>
      </c>
    </row>
    <row r="11" spans="1:26" x14ac:dyDescent="0.25">
      <c r="A11" t="str">
        <f>"97-48"</f>
        <v>97-48</v>
      </c>
      <c r="C11" t="s">
        <v>2731</v>
      </c>
      <c r="D11" t="s">
        <v>2128</v>
      </c>
      <c r="E11" t="s">
        <v>1990</v>
      </c>
      <c r="F11" t="s">
        <v>202</v>
      </c>
      <c r="G11" t="s">
        <v>118</v>
      </c>
      <c r="H11" t="s">
        <v>119</v>
      </c>
      <c r="I11" t="str">
        <f>"515-246-8016"</f>
        <v>515-246-8016</v>
      </c>
      <c r="J11" s="11">
        <v>4</v>
      </c>
      <c r="K11" s="11">
        <v>96</v>
      </c>
      <c r="L11" s="11">
        <v>96</v>
      </c>
      <c r="M11" s="11" t="s">
        <v>3051</v>
      </c>
      <c r="N11" s="14">
        <v>42647</v>
      </c>
      <c r="P11" t="s">
        <v>2129</v>
      </c>
      <c r="Q11" t="s">
        <v>119</v>
      </c>
      <c r="R11" t="s">
        <v>121</v>
      </c>
      <c r="S11" t="s">
        <v>100</v>
      </c>
      <c r="T11" t="s">
        <v>60</v>
      </c>
      <c r="U11" t="s">
        <v>18</v>
      </c>
      <c r="V11" s="6" t="s">
        <v>2893</v>
      </c>
      <c r="W11" t="s">
        <v>122</v>
      </c>
      <c r="X11" t="str">
        <f>"515-246-8016"</f>
        <v>515-246-8016</v>
      </c>
      <c r="Z11" t="s">
        <v>103</v>
      </c>
    </row>
    <row r="12" spans="1:26" x14ac:dyDescent="0.25">
      <c r="A12" t="str">
        <f>"02-31"</f>
        <v>02-31</v>
      </c>
      <c r="C12" t="s">
        <v>2355</v>
      </c>
      <c r="D12" t="s">
        <v>350</v>
      </c>
      <c r="E12" t="s">
        <v>3054</v>
      </c>
      <c r="F12" t="s">
        <v>351</v>
      </c>
      <c r="G12" t="s">
        <v>352</v>
      </c>
      <c r="H12" t="s">
        <v>353</v>
      </c>
      <c r="I12" t="str">
        <f>"317-522-9260"</f>
        <v>317-522-9260</v>
      </c>
      <c r="J12" s="11">
        <v>8</v>
      </c>
      <c r="K12" s="11">
        <v>145</v>
      </c>
      <c r="L12" s="11">
        <v>99</v>
      </c>
      <c r="M12" s="11" t="s">
        <v>3051</v>
      </c>
      <c r="N12" s="14">
        <v>42984</v>
      </c>
      <c r="P12" t="s">
        <v>354</v>
      </c>
      <c r="Q12" t="s">
        <v>355</v>
      </c>
      <c r="R12" t="s">
        <v>356</v>
      </c>
      <c r="S12" t="s">
        <v>357</v>
      </c>
      <c r="T12" t="s">
        <v>358</v>
      </c>
      <c r="U12" t="s">
        <v>359</v>
      </c>
      <c r="V12" s="6" t="s">
        <v>2915</v>
      </c>
      <c r="W12" t="s">
        <v>360</v>
      </c>
      <c r="X12" t="str">
        <f>"317-493-0881"</f>
        <v>317-493-0881</v>
      </c>
      <c r="Y12" t="s">
        <v>21</v>
      </c>
      <c r="Z12" t="s">
        <v>20</v>
      </c>
    </row>
    <row r="13" spans="1:26" x14ac:dyDescent="0.25">
      <c r="A13" t="str">
        <f>"03-37"</f>
        <v>03-37</v>
      </c>
      <c r="C13" t="s">
        <v>2367</v>
      </c>
      <c r="D13" t="s">
        <v>438</v>
      </c>
      <c r="E13" t="s">
        <v>3054</v>
      </c>
      <c r="F13" t="s">
        <v>351</v>
      </c>
      <c r="G13" t="s">
        <v>439</v>
      </c>
      <c r="H13" t="s">
        <v>440</v>
      </c>
      <c r="I13" t="str">
        <f>"952-447-2345"</f>
        <v>952-447-2345</v>
      </c>
      <c r="J13" s="11">
        <v>1</v>
      </c>
      <c r="K13" s="11">
        <v>56</v>
      </c>
      <c r="L13" s="11">
        <v>56</v>
      </c>
      <c r="M13" s="11" t="s">
        <v>3051</v>
      </c>
      <c r="N13" s="14">
        <v>42956</v>
      </c>
      <c r="P13" t="s">
        <v>441</v>
      </c>
      <c r="Q13" t="s">
        <v>440</v>
      </c>
      <c r="R13" t="s">
        <v>442</v>
      </c>
      <c r="S13" t="s">
        <v>443</v>
      </c>
      <c r="T13" t="s">
        <v>444</v>
      </c>
      <c r="U13" t="s">
        <v>31</v>
      </c>
      <c r="V13" s="6" t="s">
        <v>2923</v>
      </c>
      <c r="W13" t="s">
        <v>445</v>
      </c>
      <c r="X13" t="str">
        <f>"952-447-2345"</f>
        <v>952-447-2345</v>
      </c>
      <c r="Y13" t="s">
        <v>21</v>
      </c>
      <c r="Z13" t="s">
        <v>44</v>
      </c>
    </row>
    <row r="14" spans="1:26" x14ac:dyDescent="0.25">
      <c r="A14" t="str">
        <f>"09-0903"</f>
        <v>09-0903</v>
      </c>
      <c r="C14" t="s">
        <v>2476</v>
      </c>
      <c r="D14" t="s">
        <v>1014</v>
      </c>
      <c r="E14" t="s">
        <v>3054</v>
      </c>
      <c r="F14" t="s">
        <v>351</v>
      </c>
      <c r="G14" t="s">
        <v>55</v>
      </c>
      <c r="H14" t="s">
        <v>56</v>
      </c>
      <c r="I14" t="str">
        <f>"712-262-5965"</f>
        <v>712-262-5965</v>
      </c>
      <c r="J14" s="11">
        <v>4</v>
      </c>
      <c r="K14" s="11">
        <v>60</v>
      </c>
      <c r="L14" s="11">
        <v>60</v>
      </c>
      <c r="M14" s="11" t="s">
        <v>3050</v>
      </c>
      <c r="N14" s="14">
        <v>44096</v>
      </c>
      <c r="P14" t="s">
        <v>1015</v>
      </c>
      <c r="Q14" t="s">
        <v>58</v>
      </c>
      <c r="R14" t="s">
        <v>59</v>
      </c>
      <c r="T14" t="s">
        <v>60</v>
      </c>
      <c r="U14" t="s">
        <v>18</v>
      </c>
      <c r="V14" s="6" t="s">
        <v>2888</v>
      </c>
      <c r="W14" t="s">
        <v>61</v>
      </c>
      <c r="X14" t="str">
        <f>"515-262-5965"</f>
        <v>515-262-5965</v>
      </c>
      <c r="Y14" t="s">
        <v>151</v>
      </c>
      <c r="Z14" t="s">
        <v>62</v>
      </c>
    </row>
    <row r="15" spans="1:26" x14ac:dyDescent="0.25">
      <c r="A15" t="str">
        <f>"09-0932"</f>
        <v>09-0932</v>
      </c>
      <c r="C15" t="s">
        <v>2487</v>
      </c>
      <c r="D15" t="s">
        <v>1053</v>
      </c>
      <c r="E15" t="s">
        <v>3054</v>
      </c>
      <c r="F15" t="s">
        <v>351</v>
      </c>
      <c r="G15" t="s">
        <v>1054</v>
      </c>
      <c r="H15" t="s">
        <v>1055</v>
      </c>
      <c r="I15" t="str">
        <f>"612-886-2491"</f>
        <v>612-886-2491</v>
      </c>
      <c r="J15" s="11">
        <v>1</v>
      </c>
      <c r="K15" s="11">
        <v>62</v>
      </c>
      <c r="L15" s="11">
        <v>62</v>
      </c>
      <c r="M15" s="11" t="s">
        <v>3050</v>
      </c>
      <c r="N15" s="14">
        <v>43132</v>
      </c>
      <c r="P15" t="s">
        <v>1056</v>
      </c>
      <c r="Q15" t="s">
        <v>1057</v>
      </c>
      <c r="R15" t="s">
        <v>1058</v>
      </c>
      <c r="T15" t="s">
        <v>540</v>
      </c>
      <c r="U15" t="s">
        <v>31</v>
      </c>
      <c r="V15" s="6" t="s">
        <v>2966</v>
      </c>
      <c r="W15" t="s">
        <v>1059</v>
      </c>
      <c r="X15" t="str">
        <f>"612-243-4636"</f>
        <v>612-243-4636</v>
      </c>
      <c r="Y15" t="s">
        <v>21</v>
      </c>
      <c r="Z15" t="s">
        <v>44</v>
      </c>
    </row>
    <row r="16" spans="1:26" x14ac:dyDescent="0.25">
      <c r="A16" t="str">
        <f>"11-11-05"</f>
        <v>11-11-05</v>
      </c>
      <c r="C16" t="s">
        <v>2530</v>
      </c>
      <c r="D16" t="s">
        <v>1280</v>
      </c>
      <c r="E16" t="s">
        <v>1384</v>
      </c>
      <c r="F16" t="s">
        <v>202</v>
      </c>
      <c r="G16" t="s">
        <v>859</v>
      </c>
      <c r="H16" t="s">
        <v>860</v>
      </c>
      <c r="I16" t="str">
        <f>"317-587-0356"</f>
        <v>317-587-0356</v>
      </c>
      <c r="J16" s="11">
        <v>3</v>
      </c>
      <c r="K16" s="11">
        <v>48</v>
      </c>
      <c r="L16" s="11">
        <v>48</v>
      </c>
      <c r="M16" s="11" t="s">
        <v>3050</v>
      </c>
      <c r="N16" s="14">
        <v>43707</v>
      </c>
      <c r="P16" t="s">
        <v>1281</v>
      </c>
      <c r="Q16" t="s">
        <v>862</v>
      </c>
      <c r="R16" t="s">
        <v>863</v>
      </c>
      <c r="T16" t="s">
        <v>864</v>
      </c>
      <c r="U16" t="s">
        <v>359</v>
      </c>
      <c r="V16" s="6" t="s">
        <v>2955</v>
      </c>
      <c r="W16" t="s">
        <v>865</v>
      </c>
      <c r="X16" t="str">
        <f>"317-587-0320"</f>
        <v>317-587-0320</v>
      </c>
      <c r="Y16" t="s">
        <v>21</v>
      </c>
      <c r="Z16" t="s">
        <v>20</v>
      </c>
    </row>
    <row r="17" spans="1:26" x14ac:dyDescent="0.25">
      <c r="A17" t="str">
        <f>"16-03"</f>
        <v>16-03</v>
      </c>
      <c r="C17" t="s">
        <v>2611</v>
      </c>
      <c r="D17" t="s">
        <v>1641</v>
      </c>
      <c r="E17" t="s">
        <v>1384</v>
      </c>
      <c r="F17" t="s">
        <v>202</v>
      </c>
      <c r="G17" t="s">
        <v>1642</v>
      </c>
      <c r="H17" t="s">
        <v>1643</v>
      </c>
      <c r="I17" t="str">
        <f>"417-890-3209"</f>
        <v>417-890-3209</v>
      </c>
      <c r="J17" s="11">
        <v>1</v>
      </c>
      <c r="K17" s="11">
        <v>48</v>
      </c>
      <c r="L17" s="11">
        <v>43</v>
      </c>
      <c r="M17" s="11" t="s">
        <v>3050</v>
      </c>
      <c r="N17" s="14">
        <v>43511</v>
      </c>
      <c r="P17" t="s">
        <v>1644</v>
      </c>
      <c r="Q17" t="s">
        <v>1645</v>
      </c>
      <c r="R17" t="s">
        <v>1646</v>
      </c>
      <c r="T17" t="s">
        <v>1647</v>
      </c>
      <c r="U17" t="s">
        <v>237</v>
      </c>
      <c r="V17" s="6" t="s">
        <v>3006</v>
      </c>
      <c r="W17" t="s">
        <v>1648</v>
      </c>
      <c r="X17" t="str">
        <f>"417-890-3241"</f>
        <v>417-890-3241</v>
      </c>
      <c r="Y17" t="s">
        <v>21</v>
      </c>
      <c r="Z17" t="s">
        <v>103</v>
      </c>
    </row>
    <row r="18" spans="1:26" x14ac:dyDescent="0.25">
      <c r="A18" t="str">
        <f>"91-23"</f>
        <v>91-23</v>
      </c>
      <c r="C18" t="s">
        <v>2818</v>
      </c>
      <c r="D18" t="s">
        <v>1841</v>
      </c>
      <c r="E18" t="s">
        <v>1384</v>
      </c>
      <c r="F18" t="s">
        <v>202</v>
      </c>
      <c r="G18" t="s">
        <v>1842</v>
      </c>
      <c r="H18" t="s">
        <v>1843</v>
      </c>
      <c r="I18" t="str">
        <f>"515-964-7790"</f>
        <v>515-964-7790</v>
      </c>
      <c r="J18" s="11">
        <v>6</v>
      </c>
      <c r="K18" s="11">
        <v>62</v>
      </c>
      <c r="L18" s="11">
        <v>50</v>
      </c>
      <c r="M18" s="11" t="s">
        <v>3051</v>
      </c>
      <c r="N18" s="14">
        <v>43453</v>
      </c>
      <c r="P18" t="s">
        <v>1844</v>
      </c>
      <c r="Q18" t="s">
        <v>1845</v>
      </c>
      <c r="R18" t="s">
        <v>1846</v>
      </c>
      <c r="S18" t="s">
        <v>1847</v>
      </c>
      <c r="T18" t="s">
        <v>60</v>
      </c>
      <c r="U18" t="s">
        <v>18</v>
      </c>
      <c r="V18" s="6" t="s">
        <v>2904</v>
      </c>
      <c r="W18" t="s">
        <v>1848</v>
      </c>
      <c r="X18" t="str">
        <f>"515-598-2791"</f>
        <v>515-598-2791</v>
      </c>
      <c r="Z18" t="s">
        <v>103</v>
      </c>
    </row>
    <row r="19" spans="1:26" x14ac:dyDescent="0.25">
      <c r="A19" t="s">
        <v>1098</v>
      </c>
      <c r="B19" t="s">
        <v>1098</v>
      </c>
      <c r="C19" t="s">
        <v>2852</v>
      </c>
      <c r="D19" t="s">
        <v>1099</v>
      </c>
      <c r="E19" t="s">
        <v>1103</v>
      </c>
      <c r="F19" t="s">
        <v>1100</v>
      </c>
      <c r="G19" t="s">
        <v>1101</v>
      </c>
      <c r="H19" t="s">
        <v>1101</v>
      </c>
      <c r="I19" t="str">
        <f>"319-215-6111"</f>
        <v>319-215-6111</v>
      </c>
      <c r="J19" s="11">
        <v>0</v>
      </c>
      <c r="K19" s="11">
        <v>8</v>
      </c>
      <c r="L19" s="11">
        <v>7</v>
      </c>
      <c r="M19" s="11" t="s">
        <v>3049</v>
      </c>
      <c r="N19" s="14">
        <v>43676</v>
      </c>
      <c r="P19" t="s">
        <v>1101</v>
      </c>
      <c r="Q19" t="s">
        <v>1101</v>
      </c>
      <c r="R19" t="s">
        <v>1102</v>
      </c>
      <c r="T19" t="s">
        <v>1103</v>
      </c>
      <c r="U19" t="s">
        <v>18</v>
      </c>
      <c r="V19" s="6" t="s">
        <v>2970</v>
      </c>
      <c r="W19" t="s">
        <v>1104</v>
      </c>
      <c r="X19" t="str">
        <f>"319-215-6111"</f>
        <v>319-215-6111</v>
      </c>
      <c r="Y19" t="s">
        <v>151</v>
      </c>
      <c r="Z19" t="s">
        <v>62</v>
      </c>
    </row>
    <row r="20" spans="1:26" x14ac:dyDescent="0.25">
      <c r="A20" t="str">
        <f>"05-05"</f>
        <v>05-05</v>
      </c>
      <c r="B20" t="s">
        <v>566</v>
      </c>
      <c r="C20" t="s">
        <v>2394</v>
      </c>
      <c r="D20" t="s">
        <v>567</v>
      </c>
      <c r="E20" t="s">
        <v>3055</v>
      </c>
      <c r="F20" t="s">
        <v>23</v>
      </c>
      <c r="G20" t="s">
        <v>403</v>
      </c>
      <c r="H20" t="s">
        <v>404</v>
      </c>
      <c r="I20" t="str">
        <f>"563-556-5013"</f>
        <v>563-556-5013</v>
      </c>
      <c r="J20" s="11">
        <v>8</v>
      </c>
      <c r="K20" s="11">
        <v>32</v>
      </c>
      <c r="L20" s="11">
        <v>32</v>
      </c>
      <c r="M20" s="11" t="s">
        <v>3149</v>
      </c>
      <c r="N20" s="14">
        <v>44102</v>
      </c>
      <c r="P20" t="s">
        <v>568</v>
      </c>
      <c r="Q20" t="s">
        <v>406</v>
      </c>
      <c r="R20" t="s">
        <v>407</v>
      </c>
      <c r="T20" t="s">
        <v>23</v>
      </c>
      <c r="U20" t="s">
        <v>18</v>
      </c>
      <c r="V20" s="6" t="s">
        <v>2919</v>
      </c>
      <c r="W20" t="s">
        <v>569</v>
      </c>
      <c r="X20" t="str">
        <f>"563-556-4166"</f>
        <v>563-556-4166</v>
      </c>
      <c r="Y20" t="s">
        <v>21</v>
      </c>
      <c r="Z20" t="s">
        <v>103</v>
      </c>
    </row>
    <row r="21" spans="1:26" x14ac:dyDescent="0.25">
      <c r="A21" t="str">
        <f>"14-14-13"</f>
        <v>14-14-13</v>
      </c>
      <c r="C21" t="s">
        <v>2581</v>
      </c>
      <c r="D21" t="s">
        <v>1486</v>
      </c>
      <c r="E21" t="s">
        <v>3056</v>
      </c>
      <c r="F21" t="s">
        <v>1487</v>
      </c>
      <c r="G21" t="s">
        <v>107</v>
      </c>
      <c r="H21" t="s">
        <v>108</v>
      </c>
      <c r="I21" t="str">
        <f>"515-313-7306"</f>
        <v>515-313-7306</v>
      </c>
      <c r="J21" s="11">
        <v>5</v>
      </c>
      <c r="K21" s="11">
        <v>24</v>
      </c>
      <c r="L21" s="11">
        <v>20</v>
      </c>
      <c r="M21" s="11" t="s">
        <v>3050</v>
      </c>
      <c r="N21" s="14">
        <v>43857</v>
      </c>
      <c r="P21" t="s">
        <v>1488</v>
      </c>
      <c r="Q21" t="s">
        <v>145</v>
      </c>
      <c r="R21" t="s">
        <v>187</v>
      </c>
      <c r="T21" t="s">
        <v>60</v>
      </c>
      <c r="U21" t="s">
        <v>18</v>
      </c>
      <c r="V21" s="6" t="s">
        <v>2899</v>
      </c>
      <c r="W21" t="s">
        <v>148</v>
      </c>
      <c r="X21" t="str">
        <f>"712-580-5360"</f>
        <v>712-580-5360</v>
      </c>
      <c r="Y21" t="s">
        <v>151</v>
      </c>
      <c r="Z21" t="s">
        <v>116</v>
      </c>
    </row>
    <row r="22" spans="1:26" x14ac:dyDescent="0.25">
      <c r="A22" t="str">
        <f>"98-69"</f>
        <v>98-69</v>
      </c>
      <c r="C22" t="s">
        <v>2759</v>
      </c>
      <c r="D22" t="s">
        <v>2224</v>
      </c>
      <c r="E22" t="s">
        <v>3056</v>
      </c>
      <c r="F22" t="s">
        <v>1487</v>
      </c>
      <c r="G22" t="s">
        <v>295</v>
      </c>
      <c r="H22" t="s">
        <v>296</v>
      </c>
      <c r="I22" t="str">
        <f>"262-790-4560"</f>
        <v>262-790-4560</v>
      </c>
      <c r="J22" s="11">
        <v>2</v>
      </c>
      <c r="K22" s="11">
        <v>32</v>
      </c>
      <c r="L22" s="11">
        <v>32</v>
      </c>
      <c r="M22" s="11" t="s">
        <v>3051</v>
      </c>
      <c r="N22" s="14">
        <v>43857</v>
      </c>
      <c r="P22" t="s">
        <v>2225</v>
      </c>
      <c r="Q22" t="s">
        <v>296</v>
      </c>
      <c r="R22" t="s">
        <v>298</v>
      </c>
      <c r="T22" t="s">
        <v>299</v>
      </c>
      <c r="U22" t="s">
        <v>300</v>
      </c>
      <c r="V22" s="6" t="s">
        <v>2909</v>
      </c>
      <c r="W22" t="s">
        <v>301</v>
      </c>
      <c r="X22" t="str">
        <f>"262-790-4560"</f>
        <v>262-790-4560</v>
      </c>
      <c r="Z22" t="s">
        <v>20</v>
      </c>
    </row>
    <row r="23" spans="1:26" x14ac:dyDescent="0.25">
      <c r="A23" t="s">
        <v>1004</v>
      </c>
      <c r="B23" t="s">
        <v>1004</v>
      </c>
      <c r="C23" t="s">
        <v>2475</v>
      </c>
      <c r="D23" t="s">
        <v>1005</v>
      </c>
      <c r="E23" t="s">
        <v>1011</v>
      </c>
      <c r="F23" t="s">
        <v>1006</v>
      </c>
      <c r="G23" t="s">
        <v>1007</v>
      </c>
      <c r="H23" t="s">
        <v>1008</v>
      </c>
      <c r="I23" t="str">
        <f>"515-885-2341"</f>
        <v>515-885-2341</v>
      </c>
      <c r="J23" s="11">
        <v>0</v>
      </c>
      <c r="K23" s="11">
        <v>10</v>
      </c>
      <c r="L23" s="11">
        <v>10</v>
      </c>
      <c r="M23" s="11" t="s">
        <v>3049</v>
      </c>
      <c r="N23" s="14">
        <v>44137</v>
      </c>
      <c r="P23" t="s">
        <v>1007</v>
      </c>
      <c r="Q23" t="s">
        <v>1009</v>
      </c>
      <c r="R23" t="s">
        <v>1010</v>
      </c>
      <c r="T23" t="s">
        <v>1011</v>
      </c>
      <c r="U23" t="s">
        <v>18</v>
      </c>
      <c r="V23" s="6" t="s">
        <v>2963</v>
      </c>
      <c r="W23" t="s">
        <v>1012</v>
      </c>
      <c r="X23" t="str">
        <f>"515-885-2723"</f>
        <v>515-885-2723</v>
      </c>
      <c r="Y23" t="s">
        <v>1013</v>
      </c>
      <c r="Z23" t="s">
        <v>44</v>
      </c>
    </row>
    <row r="24" spans="1:26" x14ac:dyDescent="0.25">
      <c r="A24" t="str">
        <f>"90-32"</f>
        <v>90-32</v>
      </c>
      <c r="C24" t="s">
        <v>2647</v>
      </c>
      <c r="D24" t="s">
        <v>1784</v>
      </c>
      <c r="E24" t="s">
        <v>3057</v>
      </c>
      <c r="F24" t="s">
        <v>1142</v>
      </c>
      <c r="G24" t="s">
        <v>819</v>
      </c>
      <c r="H24" t="s">
        <v>820</v>
      </c>
      <c r="I24" t="str">
        <f>"515-689-8593"</f>
        <v>515-689-8593</v>
      </c>
      <c r="J24" s="11">
        <v>3</v>
      </c>
      <c r="K24" s="11">
        <v>16</v>
      </c>
      <c r="L24" s="11">
        <v>16</v>
      </c>
      <c r="M24" s="11" t="s">
        <v>3051</v>
      </c>
      <c r="N24" s="14">
        <v>43587</v>
      </c>
      <c r="P24" t="s">
        <v>1785</v>
      </c>
      <c r="Q24" t="s">
        <v>820</v>
      </c>
      <c r="R24" t="s">
        <v>822</v>
      </c>
      <c r="S24" t="s">
        <v>823</v>
      </c>
      <c r="T24" t="s">
        <v>824</v>
      </c>
      <c r="U24" t="s">
        <v>18</v>
      </c>
      <c r="V24" s="6" t="s">
        <v>2950</v>
      </c>
      <c r="W24" t="s">
        <v>2879</v>
      </c>
      <c r="X24" t="str">
        <f>"515-689-8593"</f>
        <v>515-689-8593</v>
      </c>
      <c r="Z24" t="s">
        <v>20</v>
      </c>
    </row>
    <row r="25" spans="1:26" x14ac:dyDescent="0.25">
      <c r="A25" t="s">
        <v>462</v>
      </c>
      <c r="B25" t="s">
        <v>462</v>
      </c>
      <c r="C25" t="s">
        <v>2372</v>
      </c>
      <c r="D25" t="s">
        <v>463</v>
      </c>
      <c r="E25" t="s">
        <v>3058</v>
      </c>
      <c r="F25" t="s">
        <v>464</v>
      </c>
      <c r="G25" t="s">
        <v>78</v>
      </c>
      <c r="H25" t="s">
        <v>79</v>
      </c>
      <c r="I25" t="str">
        <f>"515-225-4782"</f>
        <v>515-225-4782</v>
      </c>
      <c r="J25" s="11">
        <v>0</v>
      </c>
      <c r="K25" s="11">
        <v>16</v>
      </c>
      <c r="L25" s="11">
        <v>16</v>
      </c>
      <c r="M25" s="11" t="s">
        <v>3049</v>
      </c>
      <c r="N25" s="14">
        <v>43605</v>
      </c>
      <c r="P25" t="s">
        <v>465</v>
      </c>
      <c r="Q25" t="s">
        <v>81</v>
      </c>
      <c r="R25" t="s">
        <v>82</v>
      </c>
      <c r="S25" t="s">
        <v>83</v>
      </c>
      <c r="T25" t="s">
        <v>84</v>
      </c>
      <c r="U25" t="s">
        <v>18</v>
      </c>
      <c r="V25" s="6" t="s">
        <v>2890</v>
      </c>
      <c r="W25" t="s">
        <v>85</v>
      </c>
      <c r="X25" t="str">
        <f>"319-338-7600"</f>
        <v>319-338-7600</v>
      </c>
      <c r="Y25" t="s">
        <v>21</v>
      </c>
      <c r="Z25" t="s">
        <v>62</v>
      </c>
    </row>
    <row r="26" spans="1:26" x14ac:dyDescent="0.25">
      <c r="A26" t="str">
        <f>"06-50"</f>
        <v>06-50</v>
      </c>
      <c r="C26" t="s">
        <v>2432</v>
      </c>
      <c r="D26" t="s">
        <v>777</v>
      </c>
      <c r="E26" t="s">
        <v>856</v>
      </c>
      <c r="F26" t="s">
        <v>11</v>
      </c>
      <c r="G26" t="s">
        <v>383</v>
      </c>
      <c r="H26" t="s">
        <v>384</v>
      </c>
      <c r="I26" t="str">
        <f>"563-359-1075"</f>
        <v>563-359-1075</v>
      </c>
      <c r="J26" s="11">
        <v>1</v>
      </c>
      <c r="K26" s="11">
        <v>63</v>
      </c>
      <c r="L26" s="11">
        <v>60</v>
      </c>
      <c r="M26" s="11" t="s">
        <v>3051</v>
      </c>
      <c r="N26" s="14">
        <v>44132</v>
      </c>
      <c r="P26" t="s">
        <v>778</v>
      </c>
      <c r="Q26" t="s">
        <v>386</v>
      </c>
      <c r="R26" t="s">
        <v>387</v>
      </c>
      <c r="T26" t="s">
        <v>388</v>
      </c>
      <c r="U26" t="s">
        <v>300</v>
      </c>
      <c r="V26" s="6" t="s">
        <v>2917</v>
      </c>
      <c r="W26" t="s">
        <v>776</v>
      </c>
      <c r="X26" t="str">
        <f>"414-727-9902"</f>
        <v>414-727-9902</v>
      </c>
      <c r="Y26" t="s">
        <v>151</v>
      </c>
      <c r="Z26" t="s">
        <v>116</v>
      </c>
    </row>
    <row r="27" spans="1:26" x14ac:dyDescent="0.25">
      <c r="A27" t="str">
        <f>"08-0929"</f>
        <v>08-0929</v>
      </c>
      <c r="C27" t="s">
        <v>2468</v>
      </c>
      <c r="D27" t="s">
        <v>979</v>
      </c>
      <c r="E27" t="s">
        <v>856</v>
      </c>
      <c r="F27" t="s">
        <v>11</v>
      </c>
      <c r="G27" t="s">
        <v>12</v>
      </c>
      <c r="H27" t="s">
        <v>13</v>
      </c>
      <c r="I27" t="str">
        <f>"608-348-7755"</f>
        <v>608-348-7755</v>
      </c>
      <c r="J27" s="11">
        <v>1</v>
      </c>
      <c r="K27" s="11">
        <v>116</v>
      </c>
      <c r="L27" s="11">
        <v>116</v>
      </c>
      <c r="M27" s="11" t="s">
        <v>3050</v>
      </c>
      <c r="N27" s="14">
        <v>44116</v>
      </c>
      <c r="P27" t="s">
        <v>980</v>
      </c>
      <c r="Q27" t="s">
        <v>15</v>
      </c>
      <c r="R27" t="s">
        <v>16</v>
      </c>
      <c r="T27" t="s">
        <v>17</v>
      </c>
      <c r="U27" t="s">
        <v>18</v>
      </c>
      <c r="V27" s="6" t="s">
        <v>2931</v>
      </c>
      <c r="W27" t="s">
        <v>19</v>
      </c>
      <c r="X27" t="str">
        <f>"608-348-7755"</f>
        <v>608-348-7755</v>
      </c>
      <c r="Y27" t="s">
        <v>21</v>
      </c>
      <c r="Z27" t="s">
        <v>20</v>
      </c>
    </row>
    <row r="28" spans="1:26" x14ac:dyDescent="0.25">
      <c r="A28" t="str">
        <f>"09-0911"</f>
        <v>09-0911</v>
      </c>
      <c r="B28" t="s">
        <v>1018</v>
      </c>
      <c r="C28" t="s">
        <v>2478</v>
      </c>
      <c r="D28" t="s">
        <v>1019</v>
      </c>
      <c r="E28" t="s">
        <v>856</v>
      </c>
      <c r="F28" t="s">
        <v>11</v>
      </c>
      <c r="G28" t="s">
        <v>245</v>
      </c>
      <c r="H28" t="s">
        <v>246</v>
      </c>
      <c r="I28" t="str">
        <f>"563-445-7977"</f>
        <v>563-445-7977</v>
      </c>
      <c r="J28" s="11">
        <v>1</v>
      </c>
      <c r="K28" s="11">
        <v>13</v>
      </c>
      <c r="L28" s="11">
        <v>13</v>
      </c>
      <c r="M28" s="11" t="s">
        <v>3049</v>
      </c>
      <c r="N28" s="14">
        <v>43549</v>
      </c>
      <c r="P28" t="s">
        <v>1020</v>
      </c>
      <c r="Q28" t="s">
        <v>246</v>
      </c>
      <c r="R28" t="s">
        <v>248</v>
      </c>
      <c r="T28" t="s">
        <v>249</v>
      </c>
      <c r="U28" t="s">
        <v>18</v>
      </c>
      <c r="V28" s="6" t="s">
        <v>2905</v>
      </c>
      <c r="W28" t="s">
        <v>250</v>
      </c>
      <c r="X28" t="str">
        <f>"563-445-7977"</f>
        <v>563-445-7977</v>
      </c>
      <c r="Y28" t="s">
        <v>21</v>
      </c>
      <c r="Z28" t="s">
        <v>44</v>
      </c>
    </row>
    <row r="29" spans="1:26" x14ac:dyDescent="0.25">
      <c r="A29" t="str">
        <f>"98-50"</f>
        <v>98-50</v>
      </c>
      <c r="B29" t="s">
        <v>2211</v>
      </c>
      <c r="C29" t="s">
        <v>2755</v>
      </c>
      <c r="D29" t="s">
        <v>2212</v>
      </c>
      <c r="E29" t="s">
        <v>856</v>
      </c>
      <c r="F29" t="s">
        <v>11</v>
      </c>
      <c r="G29" t="s">
        <v>851</v>
      </c>
      <c r="H29" t="s">
        <v>852</v>
      </c>
      <c r="I29" t="str">
        <f>"515-490-9001"</f>
        <v>515-490-9001</v>
      </c>
      <c r="J29" s="11">
        <v>1</v>
      </c>
      <c r="K29" s="11">
        <v>32</v>
      </c>
      <c r="L29" s="11">
        <v>32</v>
      </c>
      <c r="M29" s="11" t="s">
        <v>3149</v>
      </c>
      <c r="N29" s="14">
        <v>43901</v>
      </c>
      <c r="P29" t="s">
        <v>2213</v>
      </c>
      <c r="Q29" t="s">
        <v>852</v>
      </c>
      <c r="R29" t="s">
        <v>998</v>
      </c>
      <c r="S29" t="s">
        <v>999</v>
      </c>
      <c r="T29" t="s">
        <v>17</v>
      </c>
      <c r="U29" t="s">
        <v>18</v>
      </c>
      <c r="V29" s="6" t="s">
        <v>2962</v>
      </c>
      <c r="W29" t="s">
        <v>1000</v>
      </c>
      <c r="X29" t="str">
        <f>"515-490-9001"</f>
        <v>515-490-9001</v>
      </c>
      <c r="Y29" t="s">
        <v>21</v>
      </c>
      <c r="Z29" t="s">
        <v>44</v>
      </c>
    </row>
    <row r="30" spans="1:26" x14ac:dyDescent="0.25">
      <c r="A30" t="str">
        <f>"92-41"</f>
        <v>92-41</v>
      </c>
      <c r="C30" t="s">
        <v>2678</v>
      </c>
      <c r="D30" t="s">
        <v>1917</v>
      </c>
      <c r="E30" t="s">
        <v>3059</v>
      </c>
      <c r="F30" t="s">
        <v>202</v>
      </c>
      <c r="G30" t="s">
        <v>107</v>
      </c>
      <c r="H30" t="s">
        <v>108</v>
      </c>
      <c r="I30" t="str">
        <f>"515-313-7306"</f>
        <v>515-313-7306</v>
      </c>
      <c r="J30" s="11">
        <v>6</v>
      </c>
      <c r="K30" s="11">
        <v>23</v>
      </c>
      <c r="L30" s="11">
        <v>23</v>
      </c>
      <c r="M30" s="11" t="s">
        <v>3051</v>
      </c>
      <c r="N30" s="14">
        <v>43416</v>
      </c>
      <c r="P30" t="s">
        <v>1792</v>
      </c>
      <c r="Q30" t="s">
        <v>145</v>
      </c>
      <c r="R30" t="s">
        <v>187</v>
      </c>
      <c r="T30" t="s">
        <v>60</v>
      </c>
      <c r="U30" t="s">
        <v>18</v>
      </c>
      <c r="V30" s="6" t="s">
        <v>2899</v>
      </c>
      <c r="W30" t="s">
        <v>148</v>
      </c>
      <c r="X30" t="str">
        <f>"712-580-5360"</f>
        <v>712-580-5360</v>
      </c>
      <c r="Z30" t="s">
        <v>116</v>
      </c>
    </row>
    <row r="31" spans="1:26" x14ac:dyDescent="0.25">
      <c r="A31" t="str">
        <f>"01-29"</f>
        <v>01-29</v>
      </c>
      <c r="C31" t="s">
        <v>2339</v>
      </c>
      <c r="D31" t="s">
        <v>218</v>
      </c>
      <c r="E31" t="s">
        <v>219</v>
      </c>
      <c r="F31" t="s">
        <v>219</v>
      </c>
      <c r="G31" t="s">
        <v>211</v>
      </c>
      <c r="H31" t="s">
        <v>220</v>
      </c>
      <c r="I31" t="str">
        <f>"402-963-9099"</f>
        <v>402-963-9099</v>
      </c>
      <c r="J31" s="11">
        <v>6</v>
      </c>
      <c r="K31" s="11">
        <v>72</v>
      </c>
      <c r="L31" s="11">
        <v>71</v>
      </c>
      <c r="M31" s="11" t="s">
        <v>3051</v>
      </c>
      <c r="N31" s="14">
        <v>44074</v>
      </c>
      <c r="P31" t="s">
        <v>221</v>
      </c>
      <c r="Q31" t="s">
        <v>214</v>
      </c>
      <c r="R31" t="s">
        <v>215</v>
      </c>
      <c r="T31" t="s">
        <v>216</v>
      </c>
      <c r="U31" t="s">
        <v>42</v>
      </c>
      <c r="V31" s="6" t="s">
        <v>2902</v>
      </c>
      <c r="W31" t="s">
        <v>217</v>
      </c>
      <c r="X31" t="str">
        <f>"402-963-9099"</f>
        <v>402-963-9099</v>
      </c>
      <c r="Y31" t="s">
        <v>151</v>
      </c>
      <c r="Z31" t="s">
        <v>116</v>
      </c>
    </row>
    <row r="32" spans="1:26" x14ac:dyDescent="0.25">
      <c r="A32" t="str">
        <f>"03-26"</f>
        <v>03-26</v>
      </c>
      <c r="B32" t="s">
        <v>419</v>
      </c>
      <c r="C32" t="s">
        <v>2363</v>
      </c>
      <c r="D32" t="s">
        <v>420</v>
      </c>
      <c r="E32" t="s">
        <v>219</v>
      </c>
      <c r="F32" t="s">
        <v>219</v>
      </c>
      <c r="G32" t="s">
        <v>107</v>
      </c>
      <c r="H32" t="s">
        <v>108</v>
      </c>
      <c r="I32" t="str">
        <f>"515-313-7306"</f>
        <v>515-313-7306</v>
      </c>
      <c r="J32" s="11">
        <v>2</v>
      </c>
      <c r="K32" s="11">
        <v>25</v>
      </c>
      <c r="L32" s="11">
        <v>25</v>
      </c>
      <c r="M32" s="11" t="s">
        <v>3049</v>
      </c>
      <c r="N32" s="14">
        <v>44096</v>
      </c>
      <c r="P32" t="s">
        <v>421</v>
      </c>
      <c r="Q32" t="s">
        <v>422</v>
      </c>
      <c r="R32" t="s">
        <v>423</v>
      </c>
      <c r="T32" t="s">
        <v>249</v>
      </c>
      <c r="U32" t="s">
        <v>18</v>
      </c>
      <c r="V32" s="6" t="s">
        <v>2921</v>
      </c>
      <c r="W32" t="s">
        <v>424</v>
      </c>
      <c r="X32" t="str">
        <f>"563-459-4507"</f>
        <v>563-459-4507</v>
      </c>
      <c r="Y32" t="s">
        <v>21</v>
      </c>
      <c r="Z32" t="s">
        <v>116</v>
      </c>
    </row>
    <row r="33" spans="1:26" x14ac:dyDescent="0.25">
      <c r="A33" t="str">
        <f>"07-12"</f>
        <v>07-12</v>
      </c>
      <c r="B33" t="s">
        <v>817</v>
      </c>
      <c r="C33" t="s">
        <v>2800</v>
      </c>
      <c r="D33" t="s">
        <v>818</v>
      </c>
      <c r="E33" t="s">
        <v>219</v>
      </c>
      <c r="F33" t="s">
        <v>219</v>
      </c>
      <c r="G33" t="s">
        <v>819</v>
      </c>
      <c r="H33" t="s">
        <v>820</v>
      </c>
      <c r="I33" t="str">
        <f>"515-689-8593"</f>
        <v>515-689-8593</v>
      </c>
      <c r="J33" s="11">
        <v>1</v>
      </c>
      <c r="K33" s="11">
        <v>24</v>
      </c>
      <c r="L33" s="11">
        <v>24</v>
      </c>
      <c r="M33" s="11" t="s">
        <v>3049</v>
      </c>
      <c r="N33" s="14">
        <v>43714</v>
      </c>
      <c r="P33" t="s">
        <v>821</v>
      </c>
      <c r="Q33" t="s">
        <v>820</v>
      </c>
      <c r="R33" t="s">
        <v>822</v>
      </c>
      <c r="S33" t="s">
        <v>823</v>
      </c>
      <c r="T33" t="s">
        <v>824</v>
      </c>
      <c r="U33" t="s">
        <v>18</v>
      </c>
      <c r="V33" s="6" t="s">
        <v>2950</v>
      </c>
      <c r="W33" t="s">
        <v>2879</v>
      </c>
      <c r="X33" t="str">
        <f>"515-689-8593"</f>
        <v>515-689-8593</v>
      </c>
      <c r="Y33" t="s">
        <v>21</v>
      </c>
      <c r="Z33" t="s">
        <v>20</v>
      </c>
    </row>
    <row r="34" spans="1:26" x14ac:dyDescent="0.25">
      <c r="A34" t="str">
        <f>"17-17"</f>
        <v>17-17</v>
      </c>
      <c r="C34" t="s">
        <v>2628</v>
      </c>
      <c r="D34" t="s">
        <v>1699</v>
      </c>
      <c r="E34" t="s">
        <v>219</v>
      </c>
      <c r="F34" t="s">
        <v>219</v>
      </c>
      <c r="G34" t="s">
        <v>12</v>
      </c>
      <c r="H34" t="s">
        <v>13</v>
      </c>
      <c r="I34" t="str">
        <f>"608-348-7755"</f>
        <v>608-348-7755</v>
      </c>
      <c r="J34" s="11">
        <v>1</v>
      </c>
      <c r="K34" s="11">
        <v>50</v>
      </c>
      <c r="L34" s="11">
        <v>45</v>
      </c>
      <c r="M34" s="11" t="s">
        <v>3050</v>
      </c>
      <c r="N34" s="14">
        <v>43858</v>
      </c>
      <c r="P34" t="s">
        <v>1700</v>
      </c>
      <c r="Q34" t="s">
        <v>15</v>
      </c>
      <c r="R34" t="s">
        <v>16</v>
      </c>
      <c r="T34" t="s">
        <v>17</v>
      </c>
      <c r="U34" t="s">
        <v>18</v>
      </c>
      <c r="V34" s="6" t="s">
        <v>2931</v>
      </c>
      <c r="W34" t="s">
        <v>19</v>
      </c>
      <c r="X34" t="str">
        <f>"608-348-7755"</f>
        <v>608-348-7755</v>
      </c>
      <c r="Y34" t="s">
        <v>21</v>
      </c>
      <c r="Z34" t="s">
        <v>20</v>
      </c>
    </row>
    <row r="35" spans="1:26" x14ac:dyDescent="0.25">
      <c r="A35" t="str">
        <f>"95-50"</f>
        <v>95-50</v>
      </c>
      <c r="B35" t="s">
        <v>2062</v>
      </c>
      <c r="C35" t="s">
        <v>2711</v>
      </c>
      <c r="D35" t="s">
        <v>818</v>
      </c>
      <c r="E35" t="s">
        <v>219</v>
      </c>
      <c r="F35" t="s">
        <v>219</v>
      </c>
      <c r="G35" t="s">
        <v>819</v>
      </c>
      <c r="H35" t="s">
        <v>820</v>
      </c>
      <c r="I35" t="str">
        <f>"515-689-8593"</f>
        <v>515-689-8593</v>
      </c>
      <c r="J35" s="11">
        <v>1</v>
      </c>
      <c r="K35" s="11">
        <v>24</v>
      </c>
      <c r="L35" s="11">
        <v>24</v>
      </c>
      <c r="M35" s="11" t="s">
        <v>3051</v>
      </c>
      <c r="N35" s="14">
        <v>42625</v>
      </c>
      <c r="P35" t="s">
        <v>2063</v>
      </c>
      <c r="Q35" t="s">
        <v>820</v>
      </c>
      <c r="R35" t="s">
        <v>822</v>
      </c>
      <c r="S35" t="s">
        <v>823</v>
      </c>
      <c r="T35" t="s">
        <v>824</v>
      </c>
      <c r="U35" t="s">
        <v>18</v>
      </c>
      <c r="V35" s="6" t="s">
        <v>2950</v>
      </c>
      <c r="W35" t="s">
        <v>2879</v>
      </c>
      <c r="X35" t="str">
        <f>"515-689-8593"</f>
        <v>515-689-8593</v>
      </c>
      <c r="Y35" t="s">
        <v>21</v>
      </c>
      <c r="Z35" t="s">
        <v>20</v>
      </c>
    </row>
    <row r="36" spans="1:26" x14ac:dyDescent="0.25">
      <c r="A36" t="str">
        <f>"98-23"</f>
        <v>98-23</v>
      </c>
      <c r="C36" t="s">
        <v>2746</v>
      </c>
      <c r="D36" t="s">
        <v>2182</v>
      </c>
      <c r="E36" t="s">
        <v>219</v>
      </c>
      <c r="F36" t="s">
        <v>219</v>
      </c>
      <c r="G36" t="s">
        <v>295</v>
      </c>
      <c r="H36" t="s">
        <v>296</v>
      </c>
      <c r="I36" t="str">
        <f>"262-790-4560"</f>
        <v>262-790-4560</v>
      </c>
      <c r="J36" s="11">
        <v>2</v>
      </c>
      <c r="K36" s="11">
        <v>40</v>
      </c>
      <c r="L36" s="11">
        <v>40</v>
      </c>
      <c r="M36" s="11" t="s">
        <v>3051</v>
      </c>
      <c r="N36" s="14">
        <v>42984</v>
      </c>
      <c r="P36" t="s">
        <v>2183</v>
      </c>
      <c r="Q36" t="s">
        <v>2184</v>
      </c>
      <c r="R36" t="s">
        <v>298</v>
      </c>
      <c r="T36" t="s">
        <v>299</v>
      </c>
      <c r="U36" t="s">
        <v>300</v>
      </c>
      <c r="V36" s="6" t="s">
        <v>2909</v>
      </c>
      <c r="W36" t="s">
        <v>301</v>
      </c>
      <c r="X36" t="str">
        <f>"262-790-4560"</f>
        <v>262-790-4560</v>
      </c>
      <c r="Z36" t="s">
        <v>20</v>
      </c>
    </row>
    <row r="37" spans="1:26" x14ac:dyDescent="0.25">
      <c r="A37" t="str">
        <f>"01-31"</f>
        <v>01-31</v>
      </c>
      <c r="B37" t="s">
        <v>222</v>
      </c>
      <c r="C37" t="s">
        <v>2340</v>
      </c>
      <c r="D37" t="s">
        <v>223</v>
      </c>
      <c r="E37" t="s">
        <v>662</v>
      </c>
      <c r="F37" t="s">
        <v>60</v>
      </c>
      <c r="G37" t="s">
        <v>24</v>
      </c>
      <c r="H37" t="s">
        <v>224</v>
      </c>
      <c r="I37" t="str">
        <f>"507-285-5082"</f>
        <v>507-285-5082</v>
      </c>
      <c r="J37" s="11">
        <v>3</v>
      </c>
      <c r="K37" s="11">
        <v>48</v>
      </c>
      <c r="L37" s="11">
        <v>48</v>
      </c>
      <c r="M37" s="11" t="s">
        <v>3149</v>
      </c>
      <c r="N37" s="14">
        <v>44035</v>
      </c>
      <c r="P37" t="s">
        <v>225</v>
      </c>
      <c r="Q37" t="s">
        <v>226</v>
      </c>
      <c r="R37" t="s">
        <v>227</v>
      </c>
      <c r="T37" t="s">
        <v>228</v>
      </c>
      <c r="U37" t="s">
        <v>31</v>
      </c>
      <c r="V37" s="6" t="s">
        <v>2903</v>
      </c>
      <c r="W37" t="s">
        <v>229</v>
      </c>
      <c r="X37" t="str">
        <f>"507-285-5082"</f>
        <v>507-285-5082</v>
      </c>
      <c r="Y37" t="s">
        <v>21</v>
      </c>
      <c r="Z37" t="s">
        <v>20</v>
      </c>
    </row>
    <row r="38" spans="1:26" x14ac:dyDescent="0.25">
      <c r="A38" t="s">
        <v>654</v>
      </c>
      <c r="B38" t="s">
        <v>655</v>
      </c>
      <c r="C38" t="s">
        <v>2412</v>
      </c>
      <c r="D38" t="s">
        <v>656</v>
      </c>
      <c r="E38" t="s">
        <v>662</v>
      </c>
      <c r="F38" t="s">
        <v>60</v>
      </c>
      <c r="G38" t="s">
        <v>657</v>
      </c>
      <c r="H38" t="s">
        <v>658</v>
      </c>
      <c r="I38" t="str">
        <f>"319-208-0042"</f>
        <v>319-208-0042</v>
      </c>
      <c r="J38" s="11">
        <v>0</v>
      </c>
      <c r="K38" s="11">
        <v>3</v>
      </c>
      <c r="L38" s="11">
        <v>3</v>
      </c>
      <c r="M38" s="11" t="s">
        <v>3049</v>
      </c>
      <c r="N38" s="14">
        <v>44034</v>
      </c>
      <c r="P38" t="s">
        <v>659</v>
      </c>
      <c r="Q38" t="s">
        <v>660</v>
      </c>
      <c r="R38" t="s">
        <v>661</v>
      </c>
      <c r="T38" t="s">
        <v>662</v>
      </c>
      <c r="U38" t="s">
        <v>18</v>
      </c>
      <c r="V38" s="6" t="s">
        <v>2938</v>
      </c>
      <c r="W38" t="s">
        <v>663</v>
      </c>
      <c r="X38" t="str">
        <f>"319-759-6903"</f>
        <v>319-759-6903</v>
      </c>
      <c r="Y38" t="s">
        <v>33</v>
      </c>
      <c r="Z38" t="s">
        <v>62</v>
      </c>
    </row>
    <row r="39" spans="1:26" x14ac:dyDescent="0.25">
      <c r="A39" t="s">
        <v>664</v>
      </c>
      <c r="B39" t="s">
        <v>655</v>
      </c>
      <c r="C39" t="s">
        <v>2413</v>
      </c>
      <c r="D39" t="s">
        <v>665</v>
      </c>
      <c r="E39" t="s">
        <v>662</v>
      </c>
      <c r="F39" t="s">
        <v>60</v>
      </c>
      <c r="G39" t="s">
        <v>657</v>
      </c>
      <c r="H39" t="s">
        <v>658</v>
      </c>
      <c r="I39" t="str">
        <f>"319-208-0042"</f>
        <v>319-208-0042</v>
      </c>
      <c r="J39" s="11">
        <v>0</v>
      </c>
      <c r="K39" s="11">
        <v>4</v>
      </c>
      <c r="L39" s="11">
        <v>4</v>
      </c>
      <c r="M39" s="11" t="s">
        <v>3049</v>
      </c>
      <c r="N39" s="14">
        <v>44034</v>
      </c>
      <c r="P39" t="s">
        <v>666</v>
      </c>
      <c r="Q39" t="s">
        <v>667</v>
      </c>
      <c r="R39" t="s">
        <v>668</v>
      </c>
      <c r="T39" t="s">
        <v>662</v>
      </c>
      <c r="U39" t="s">
        <v>18</v>
      </c>
      <c r="V39" s="6" t="s">
        <v>2939</v>
      </c>
      <c r="W39" t="s">
        <v>669</v>
      </c>
      <c r="X39" t="str">
        <f>"319-572-2303"</f>
        <v>319-572-2303</v>
      </c>
      <c r="Y39" t="s">
        <v>33</v>
      </c>
      <c r="Z39" t="s">
        <v>62</v>
      </c>
    </row>
    <row r="40" spans="1:26" x14ac:dyDescent="0.25">
      <c r="A40" t="s">
        <v>670</v>
      </c>
      <c r="B40" t="s">
        <v>655</v>
      </c>
      <c r="C40" t="s">
        <v>2414</v>
      </c>
      <c r="D40" t="s">
        <v>671</v>
      </c>
      <c r="E40" t="s">
        <v>662</v>
      </c>
      <c r="F40" t="s">
        <v>60</v>
      </c>
      <c r="G40" t="s">
        <v>657</v>
      </c>
      <c r="H40" t="s">
        <v>658</v>
      </c>
      <c r="I40" t="str">
        <f>"319-208-0042"</f>
        <v>319-208-0042</v>
      </c>
      <c r="J40" s="11">
        <v>0</v>
      </c>
      <c r="K40" s="11">
        <v>4</v>
      </c>
      <c r="L40" s="11">
        <v>4</v>
      </c>
      <c r="M40" s="11" t="s">
        <v>3049</v>
      </c>
      <c r="N40" s="14">
        <v>44034</v>
      </c>
      <c r="P40" t="s">
        <v>672</v>
      </c>
      <c r="Q40" t="s">
        <v>673</v>
      </c>
      <c r="R40" t="s">
        <v>674</v>
      </c>
      <c r="T40" t="s">
        <v>675</v>
      </c>
      <c r="U40" t="s">
        <v>18</v>
      </c>
      <c r="V40" s="6" t="s">
        <v>2940</v>
      </c>
      <c r="W40" t="s">
        <v>676</v>
      </c>
      <c r="X40" t="str">
        <f>"319-750-4598"</f>
        <v>319-750-4598</v>
      </c>
      <c r="Y40" t="s">
        <v>33</v>
      </c>
      <c r="Z40" t="s">
        <v>62</v>
      </c>
    </row>
    <row r="41" spans="1:26" x14ac:dyDescent="0.25">
      <c r="A41" t="str">
        <f>"10-10-261"</f>
        <v>10-10-261</v>
      </c>
      <c r="C41" t="s">
        <v>2514</v>
      </c>
      <c r="D41" t="s">
        <v>1201</v>
      </c>
      <c r="E41" t="s">
        <v>662</v>
      </c>
      <c r="F41" t="s">
        <v>60</v>
      </c>
      <c r="G41" t="s">
        <v>851</v>
      </c>
      <c r="H41" t="s">
        <v>852</v>
      </c>
      <c r="I41" t="str">
        <f>"515-490-9001"</f>
        <v>515-490-9001</v>
      </c>
      <c r="J41" s="11">
        <v>32</v>
      </c>
      <c r="K41" s="11">
        <v>134</v>
      </c>
      <c r="L41" s="11">
        <v>133</v>
      </c>
      <c r="M41" s="11" t="s">
        <v>3050</v>
      </c>
      <c r="N41" s="14">
        <v>43780</v>
      </c>
      <c r="P41" t="s">
        <v>1202</v>
      </c>
      <c r="Q41" t="s">
        <v>1203</v>
      </c>
      <c r="R41" t="s">
        <v>1204</v>
      </c>
      <c r="T41" t="s">
        <v>803</v>
      </c>
      <c r="U41" t="s">
        <v>237</v>
      </c>
      <c r="V41" s="6" t="s">
        <v>2977</v>
      </c>
      <c r="W41" t="s">
        <v>1205</v>
      </c>
      <c r="X41" t="str">
        <f>"816-561-1033"</f>
        <v>816-561-1033</v>
      </c>
      <c r="Y41" t="s">
        <v>151</v>
      </c>
      <c r="Z41" t="s">
        <v>44</v>
      </c>
    </row>
    <row r="42" spans="1:26" x14ac:dyDescent="0.25">
      <c r="A42" t="s">
        <v>1250</v>
      </c>
      <c r="B42" t="s">
        <v>1251</v>
      </c>
      <c r="C42" t="s">
        <v>2525</v>
      </c>
      <c r="D42" t="s">
        <v>1252</v>
      </c>
      <c r="E42" t="s">
        <v>662</v>
      </c>
      <c r="F42" t="s">
        <v>60</v>
      </c>
      <c r="G42" t="s">
        <v>657</v>
      </c>
      <c r="H42" t="s">
        <v>658</v>
      </c>
      <c r="I42" t="str">
        <f>"319-208-0042"</f>
        <v>319-208-0042</v>
      </c>
      <c r="J42" s="11">
        <v>0</v>
      </c>
      <c r="K42" s="11">
        <v>8</v>
      </c>
      <c r="L42" s="11">
        <v>8</v>
      </c>
      <c r="M42" s="11" t="s">
        <v>3049</v>
      </c>
      <c r="N42" s="14">
        <v>44034</v>
      </c>
      <c r="P42" t="s">
        <v>1253</v>
      </c>
      <c r="Q42" t="s">
        <v>1254</v>
      </c>
      <c r="R42" t="s">
        <v>1255</v>
      </c>
      <c r="T42" t="s">
        <v>662</v>
      </c>
      <c r="U42" t="s">
        <v>18</v>
      </c>
      <c r="V42" s="6" t="s">
        <v>2938</v>
      </c>
      <c r="W42" t="s">
        <v>1256</v>
      </c>
      <c r="X42" t="str">
        <f>"319-753-6929"</f>
        <v>319-753-6929</v>
      </c>
      <c r="Y42" t="s">
        <v>33</v>
      </c>
      <c r="Z42" t="s">
        <v>62</v>
      </c>
    </row>
    <row r="43" spans="1:26" x14ac:dyDescent="0.25">
      <c r="A43" t="s">
        <v>1257</v>
      </c>
      <c r="B43" t="s">
        <v>1251</v>
      </c>
      <c r="C43" t="s">
        <v>2526</v>
      </c>
      <c r="D43" t="s">
        <v>1258</v>
      </c>
      <c r="E43" t="s">
        <v>662</v>
      </c>
      <c r="F43" t="s">
        <v>60</v>
      </c>
      <c r="G43" t="s">
        <v>657</v>
      </c>
      <c r="H43" t="s">
        <v>658</v>
      </c>
      <c r="I43" t="str">
        <f>"319-208-0042"</f>
        <v>319-208-0042</v>
      </c>
      <c r="J43" s="11">
        <v>0</v>
      </c>
      <c r="K43" s="11">
        <v>2</v>
      </c>
      <c r="L43" s="11">
        <v>2</v>
      </c>
      <c r="M43" s="11" t="s">
        <v>3049</v>
      </c>
      <c r="N43" s="14">
        <v>44034</v>
      </c>
      <c r="P43" t="s">
        <v>1259</v>
      </c>
      <c r="Q43" t="s">
        <v>1260</v>
      </c>
      <c r="R43" t="s">
        <v>1261</v>
      </c>
      <c r="T43" t="s">
        <v>662</v>
      </c>
      <c r="U43" t="s">
        <v>18</v>
      </c>
      <c r="V43" s="6" t="s">
        <v>2938</v>
      </c>
      <c r="W43" t="s">
        <v>1262</v>
      </c>
      <c r="X43" t="str">
        <f>"319-750-8920"</f>
        <v>319-750-8920</v>
      </c>
      <c r="Y43" t="s">
        <v>33</v>
      </c>
      <c r="Z43" t="s">
        <v>62</v>
      </c>
    </row>
    <row r="44" spans="1:26" x14ac:dyDescent="0.25">
      <c r="A44" t="s">
        <v>1263</v>
      </c>
      <c r="B44" t="s">
        <v>1251</v>
      </c>
      <c r="C44" t="s">
        <v>2527</v>
      </c>
      <c r="D44" t="s">
        <v>1264</v>
      </c>
      <c r="E44" t="s">
        <v>662</v>
      </c>
      <c r="F44" t="s">
        <v>60</v>
      </c>
      <c r="G44" t="s">
        <v>657</v>
      </c>
      <c r="H44" t="s">
        <v>658</v>
      </c>
      <c r="I44" t="str">
        <f>"319-208-0042"</f>
        <v>319-208-0042</v>
      </c>
      <c r="J44" s="11">
        <v>0</v>
      </c>
      <c r="K44" s="11">
        <v>2</v>
      </c>
      <c r="L44" s="11">
        <v>2</v>
      </c>
      <c r="M44" s="11" t="s">
        <v>3049</v>
      </c>
      <c r="N44" s="14">
        <v>44034</v>
      </c>
      <c r="P44" t="s">
        <v>666</v>
      </c>
      <c r="Q44" t="s">
        <v>667</v>
      </c>
      <c r="R44" t="s">
        <v>668</v>
      </c>
      <c r="T44" t="s">
        <v>662</v>
      </c>
      <c r="U44" t="s">
        <v>18</v>
      </c>
      <c r="V44" s="6" t="s">
        <v>2939</v>
      </c>
      <c r="W44" t="s">
        <v>669</v>
      </c>
      <c r="X44" t="str">
        <f>"319-572-2303"</f>
        <v>319-572-2303</v>
      </c>
      <c r="Y44" t="s">
        <v>33</v>
      </c>
      <c r="Z44" t="s">
        <v>62</v>
      </c>
    </row>
    <row r="45" spans="1:26" x14ac:dyDescent="0.25">
      <c r="A45" t="s">
        <v>1265</v>
      </c>
      <c r="B45" t="s">
        <v>1251</v>
      </c>
      <c r="C45" t="s">
        <v>2528</v>
      </c>
      <c r="D45" t="s">
        <v>1266</v>
      </c>
      <c r="E45" t="s">
        <v>662</v>
      </c>
      <c r="F45" t="s">
        <v>60</v>
      </c>
      <c r="G45" t="s">
        <v>657</v>
      </c>
      <c r="H45" t="s">
        <v>658</v>
      </c>
      <c r="I45" t="str">
        <f>"319-208-0042"</f>
        <v>319-208-0042</v>
      </c>
      <c r="J45" s="11">
        <v>0</v>
      </c>
      <c r="K45" s="11">
        <v>1</v>
      </c>
      <c r="L45" s="11">
        <v>1</v>
      </c>
      <c r="M45" s="11" t="s">
        <v>3049</v>
      </c>
      <c r="N45" s="14">
        <v>44034</v>
      </c>
      <c r="P45" t="s">
        <v>1267</v>
      </c>
      <c r="Q45" t="s">
        <v>1268</v>
      </c>
      <c r="R45" t="s">
        <v>1269</v>
      </c>
      <c r="T45" t="s">
        <v>662</v>
      </c>
      <c r="U45" t="s">
        <v>18</v>
      </c>
      <c r="V45" s="6" t="s">
        <v>2938</v>
      </c>
      <c r="W45" t="s">
        <v>1270</v>
      </c>
      <c r="X45" t="str">
        <f>"319-759-5711"</f>
        <v>319-759-5711</v>
      </c>
      <c r="Y45" t="s">
        <v>33</v>
      </c>
      <c r="Z45" t="s">
        <v>62</v>
      </c>
    </row>
    <row r="46" spans="1:26" x14ac:dyDescent="0.25">
      <c r="A46" t="str">
        <f>"11-11-30"</f>
        <v>11-11-30</v>
      </c>
      <c r="C46" t="s">
        <v>2536</v>
      </c>
      <c r="D46" t="s">
        <v>1297</v>
      </c>
      <c r="E46" t="s">
        <v>662</v>
      </c>
      <c r="F46" t="s">
        <v>60</v>
      </c>
      <c r="G46" t="s">
        <v>1298</v>
      </c>
      <c r="H46" t="s">
        <v>1299</v>
      </c>
      <c r="I46" t="str">
        <f>"216-520-1250"</f>
        <v>216-520-1250</v>
      </c>
      <c r="J46" s="11">
        <v>19</v>
      </c>
      <c r="K46" s="11">
        <v>100</v>
      </c>
      <c r="L46" s="11">
        <v>100</v>
      </c>
      <c r="M46" s="11" t="s">
        <v>3050</v>
      </c>
      <c r="N46" s="14">
        <v>44083</v>
      </c>
      <c r="P46" t="s">
        <v>1300</v>
      </c>
      <c r="Q46" t="s">
        <v>1301</v>
      </c>
      <c r="R46" t="s">
        <v>1302</v>
      </c>
      <c r="S46" t="s">
        <v>1303</v>
      </c>
      <c r="T46" t="s">
        <v>1304</v>
      </c>
      <c r="U46" t="s">
        <v>1160</v>
      </c>
      <c r="V46" s="6" t="s">
        <v>2983</v>
      </c>
      <c r="W46" t="s">
        <v>1305</v>
      </c>
      <c r="X46" t="str">
        <f>"216-520-1250"</f>
        <v>216-520-1250</v>
      </c>
      <c r="Y46" t="s">
        <v>151</v>
      </c>
      <c r="Z46" t="s">
        <v>20</v>
      </c>
    </row>
    <row r="47" spans="1:26" x14ac:dyDescent="0.25">
      <c r="A47" t="str">
        <f>"16-27"</f>
        <v>16-27</v>
      </c>
      <c r="C47" t="s">
        <v>2616</v>
      </c>
      <c r="D47" t="s">
        <v>1661</v>
      </c>
      <c r="E47" t="s">
        <v>662</v>
      </c>
      <c r="F47" t="s">
        <v>60</v>
      </c>
      <c r="G47" t="s">
        <v>1298</v>
      </c>
      <c r="H47" t="s">
        <v>1301</v>
      </c>
      <c r="I47" t="str">
        <f>"216-447-9646"</f>
        <v>216-447-9646</v>
      </c>
      <c r="J47" s="11">
        <v>18</v>
      </c>
      <c r="K47" s="11">
        <v>75</v>
      </c>
      <c r="L47" s="11">
        <v>75</v>
      </c>
      <c r="M47" s="11" t="s">
        <v>3050</v>
      </c>
      <c r="N47" s="15" t="s">
        <v>3158</v>
      </c>
      <c r="P47" t="s">
        <v>1662</v>
      </c>
      <c r="Q47" t="s">
        <v>1663</v>
      </c>
      <c r="R47" t="s">
        <v>1664</v>
      </c>
      <c r="S47" t="s">
        <v>1303</v>
      </c>
      <c r="T47" t="s">
        <v>1304</v>
      </c>
      <c r="U47" t="s">
        <v>1160</v>
      </c>
      <c r="V47" s="6" t="s">
        <v>3008</v>
      </c>
      <c r="W47" t="s">
        <v>1665</v>
      </c>
      <c r="X47" t="str">
        <f>"216-520-1250"</f>
        <v>216-520-1250</v>
      </c>
      <c r="Y47" t="s">
        <v>151</v>
      </c>
      <c r="Z47" t="s">
        <v>20</v>
      </c>
    </row>
    <row r="48" spans="1:26" x14ac:dyDescent="0.25">
      <c r="A48" t="str">
        <f>"00-23"</f>
        <v>00-23</v>
      </c>
      <c r="B48" t="s">
        <v>86</v>
      </c>
      <c r="C48" t="s">
        <v>2325</v>
      </c>
      <c r="D48" t="s">
        <v>87</v>
      </c>
      <c r="E48" t="s">
        <v>88</v>
      </c>
      <c r="F48" t="s">
        <v>88</v>
      </c>
      <c r="G48" t="s">
        <v>78</v>
      </c>
      <c r="H48" t="s">
        <v>79</v>
      </c>
      <c r="I48" t="str">
        <f>"515-225-4782"</f>
        <v>515-225-4782</v>
      </c>
      <c r="J48" s="11">
        <v>1</v>
      </c>
      <c r="K48" s="11">
        <v>24</v>
      </c>
      <c r="L48" s="11">
        <v>24</v>
      </c>
      <c r="M48" s="11" t="s">
        <v>3049</v>
      </c>
      <c r="N48" s="14">
        <v>43564</v>
      </c>
      <c r="P48" t="s">
        <v>89</v>
      </c>
      <c r="Q48" t="s">
        <v>81</v>
      </c>
      <c r="R48" t="s">
        <v>82</v>
      </c>
      <c r="S48" t="s">
        <v>83</v>
      </c>
      <c r="T48" t="s">
        <v>84</v>
      </c>
      <c r="U48" t="s">
        <v>18</v>
      </c>
      <c r="V48" s="6" t="s">
        <v>2890</v>
      </c>
      <c r="W48" t="s">
        <v>85</v>
      </c>
      <c r="X48" t="str">
        <f>"319-338-7600"</f>
        <v>319-338-7600</v>
      </c>
      <c r="Y48" t="s">
        <v>21</v>
      </c>
      <c r="Z48" t="s">
        <v>62</v>
      </c>
    </row>
    <row r="49" spans="1:26" x14ac:dyDescent="0.25">
      <c r="A49" t="str">
        <f>"91-52"</f>
        <v>91-52</v>
      </c>
      <c r="C49" t="s">
        <v>2664</v>
      </c>
      <c r="D49" t="s">
        <v>1874</v>
      </c>
      <c r="E49" t="s">
        <v>88</v>
      </c>
      <c r="F49" t="s">
        <v>88</v>
      </c>
      <c r="G49" t="s">
        <v>142</v>
      </c>
      <c r="H49" t="s">
        <v>143</v>
      </c>
      <c r="I49" t="str">
        <f>"712-580-5360"</f>
        <v>712-580-5360</v>
      </c>
      <c r="J49" s="11">
        <v>1</v>
      </c>
      <c r="K49" s="11">
        <v>20</v>
      </c>
      <c r="L49" s="11">
        <v>20</v>
      </c>
      <c r="M49" s="11" t="s">
        <v>3051</v>
      </c>
      <c r="N49" s="14">
        <v>43637</v>
      </c>
      <c r="P49" t="s">
        <v>1875</v>
      </c>
      <c r="Q49" t="s">
        <v>145</v>
      </c>
      <c r="R49" t="s">
        <v>146</v>
      </c>
      <c r="T49" t="s">
        <v>147</v>
      </c>
      <c r="U49" t="s">
        <v>18</v>
      </c>
      <c r="V49" s="6" t="s">
        <v>2895</v>
      </c>
      <c r="W49" t="s">
        <v>148</v>
      </c>
      <c r="X49" t="str">
        <f>"712-240-2188"</f>
        <v>712-240-2188</v>
      </c>
      <c r="Z49" t="s">
        <v>116</v>
      </c>
    </row>
    <row r="50" spans="1:26" x14ac:dyDescent="0.25">
      <c r="A50" t="str">
        <f>"99-68"</f>
        <v>99-68</v>
      </c>
      <c r="B50" t="s">
        <v>2271</v>
      </c>
      <c r="C50" t="s">
        <v>2835</v>
      </c>
      <c r="D50" t="s">
        <v>2272</v>
      </c>
      <c r="E50" t="s">
        <v>88</v>
      </c>
      <c r="F50" t="s">
        <v>88</v>
      </c>
      <c r="G50" t="s">
        <v>295</v>
      </c>
      <c r="H50" t="s">
        <v>296</v>
      </c>
      <c r="I50" t="str">
        <f>"262-790-4560"</f>
        <v>262-790-4560</v>
      </c>
      <c r="J50" s="11">
        <v>1</v>
      </c>
      <c r="K50" s="11">
        <v>24</v>
      </c>
      <c r="L50" s="11">
        <v>23</v>
      </c>
      <c r="M50" s="11" t="s">
        <v>3049</v>
      </c>
      <c r="N50" s="14">
        <v>44126</v>
      </c>
      <c r="P50" t="s">
        <v>2127</v>
      </c>
      <c r="Q50" t="s">
        <v>296</v>
      </c>
      <c r="R50" t="s">
        <v>298</v>
      </c>
      <c r="T50" t="s">
        <v>299</v>
      </c>
      <c r="U50" t="s">
        <v>300</v>
      </c>
      <c r="V50" s="6" t="s">
        <v>2909</v>
      </c>
      <c r="W50" t="s">
        <v>301</v>
      </c>
      <c r="X50" t="str">
        <f>"262-790-4560"</f>
        <v>262-790-4560</v>
      </c>
      <c r="Y50" t="s">
        <v>21</v>
      </c>
      <c r="Z50" t="s">
        <v>20</v>
      </c>
    </row>
    <row r="51" spans="1:26" x14ac:dyDescent="0.25">
      <c r="A51" t="str">
        <f>"10-10-263"</f>
        <v>10-10-263</v>
      </c>
      <c r="C51" t="s">
        <v>2515</v>
      </c>
      <c r="D51" t="s">
        <v>1206</v>
      </c>
      <c r="E51" t="s">
        <v>3060</v>
      </c>
      <c r="F51" t="s">
        <v>210</v>
      </c>
      <c r="G51" t="s">
        <v>324</v>
      </c>
      <c r="H51" t="s">
        <v>345</v>
      </c>
      <c r="I51" t="str">
        <f>"402-763-9465"</f>
        <v>402-763-9465</v>
      </c>
      <c r="J51" s="11">
        <v>1</v>
      </c>
      <c r="K51" s="11">
        <v>42</v>
      </c>
      <c r="L51" s="11">
        <v>42</v>
      </c>
      <c r="M51" s="11" t="s">
        <v>3050</v>
      </c>
      <c r="N51" s="14">
        <v>43220</v>
      </c>
      <c r="P51" t="s">
        <v>1207</v>
      </c>
      <c r="Q51" t="s">
        <v>347</v>
      </c>
      <c r="R51" t="s">
        <v>348</v>
      </c>
      <c r="T51" t="s">
        <v>216</v>
      </c>
      <c r="U51" t="s">
        <v>42</v>
      </c>
      <c r="V51" s="6" t="s">
        <v>2914</v>
      </c>
      <c r="W51" t="s">
        <v>349</v>
      </c>
      <c r="X51" t="str">
        <f>"402-952-4599"</f>
        <v>402-952-4599</v>
      </c>
      <c r="Y51" t="s">
        <v>21</v>
      </c>
      <c r="Z51" t="s">
        <v>103</v>
      </c>
    </row>
    <row r="52" spans="1:26" x14ac:dyDescent="0.25">
      <c r="A52" t="str">
        <f>"91-24"</f>
        <v>91-24</v>
      </c>
      <c r="C52" t="s">
        <v>2658</v>
      </c>
      <c r="D52" t="s">
        <v>1849</v>
      </c>
      <c r="E52" t="s">
        <v>3060</v>
      </c>
      <c r="F52" t="s">
        <v>210</v>
      </c>
      <c r="G52" t="s">
        <v>1842</v>
      </c>
      <c r="H52" t="s">
        <v>1850</v>
      </c>
      <c r="I52" t="str">
        <f>"319-277-3138"</f>
        <v>319-277-3138</v>
      </c>
      <c r="J52" s="11">
        <v>8</v>
      </c>
      <c r="K52" s="11">
        <v>64</v>
      </c>
      <c r="L52" s="11">
        <v>64</v>
      </c>
      <c r="M52" s="11" t="s">
        <v>3051</v>
      </c>
      <c r="N52" s="14">
        <v>43598</v>
      </c>
      <c r="P52" t="s">
        <v>1851</v>
      </c>
      <c r="Q52" t="s">
        <v>1852</v>
      </c>
      <c r="R52" t="s">
        <v>1846</v>
      </c>
      <c r="S52" t="s">
        <v>1847</v>
      </c>
      <c r="T52" t="s">
        <v>60</v>
      </c>
      <c r="U52" t="s">
        <v>18</v>
      </c>
      <c r="V52" s="6" t="s">
        <v>2904</v>
      </c>
      <c r="W52" t="s">
        <v>1853</v>
      </c>
      <c r="X52" t="str">
        <f>"515-244-2622"</f>
        <v>515-244-2622</v>
      </c>
      <c r="Z52" t="s">
        <v>103</v>
      </c>
    </row>
    <row r="53" spans="1:26" x14ac:dyDescent="0.25">
      <c r="A53" t="str">
        <f>"93-41"</f>
        <v>93-41</v>
      </c>
      <c r="C53" t="s">
        <v>2821</v>
      </c>
      <c r="D53" t="s">
        <v>1977</v>
      </c>
      <c r="E53" t="s">
        <v>3060</v>
      </c>
      <c r="F53" t="s">
        <v>210</v>
      </c>
      <c r="G53" t="s">
        <v>1842</v>
      </c>
      <c r="H53" t="s">
        <v>1850</v>
      </c>
      <c r="I53" t="str">
        <f>"319-277-3138"</f>
        <v>319-277-3138</v>
      </c>
      <c r="J53" s="11">
        <v>8</v>
      </c>
      <c r="K53" s="11">
        <v>64</v>
      </c>
      <c r="L53" s="11">
        <v>64</v>
      </c>
      <c r="M53" s="11" t="s">
        <v>3051</v>
      </c>
      <c r="N53" s="14">
        <v>43598</v>
      </c>
      <c r="P53" t="s">
        <v>1978</v>
      </c>
      <c r="Q53" t="s">
        <v>1852</v>
      </c>
      <c r="R53" t="s">
        <v>1846</v>
      </c>
      <c r="S53" t="s">
        <v>1847</v>
      </c>
      <c r="T53" t="s">
        <v>60</v>
      </c>
      <c r="U53" t="s">
        <v>18</v>
      </c>
      <c r="V53" s="6" t="s">
        <v>2904</v>
      </c>
      <c r="W53" t="s">
        <v>1853</v>
      </c>
      <c r="X53" t="str">
        <f>"515-244-2622"</f>
        <v>515-244-2622</v>
      </c>
      <c r="Z53" t="s">
        <v>103</v>
      </c>
    </row>
    <row r="54" spans="1:26" x14ac:dyDescent="0.25">
      <c r="A54" t="str">
        <f>"02-23"</f>
        <v>02-23</v>
      </c>
      <c r="B54" t="s">
        <v>313</v>
      </c>
      <c r="C54" t="s">
        <v>2350</v>
      </c>
      <c r="D54" t="s">
        <v>314</v>
      </c>
      <c r="E54" t="s">
        <v>320</v>
      </c>
      <c r="F54" t="s">
        <v>149</v>
      </c>
      <c r="G54" t="s">
        <v>315</v>
      </c>
      <c r="H54" t="s">
        <v>316</v>
      </c>
      <c r="I54" t="str">
        <f>"319-364-0259"</f>
        <v>319-364-0259</v>
      </c>
      <c r="J54" s="11">
        <v>1</v>
      </c>
      <c r="K54" s="11">
        <v>28</v>
      </c>
      <c r="L54" s="11">
        <v>28</v>
      </c>
      <c r="M54" s="11" t="s">
        <v>3149</v>
      </c>
      <c r="N54" s="14">
        <v>43896</v>
      </c>
      <c r="P54" t="s">
        <v>317</v>
      </c>
      <c r="Q54" t="s">
        <v>318</v>
      </c>
      <c r="R54" t="s">
        <v>319</v>
      </c>
      <c r="T54" t="s">
        <v>320</v>
      </c>
      <c r="U54" t="s">
        <v>18</v>
      </c>
      <c r="V54" s="6" t="s">
        <v>2911</v>
      </c>
      <c r="W54" t="s">
        <v>321</v>
      </c>
      <c r="X54" t="str">
        <f>"319-784-2030"</f>
        <v>319-784-2030</v>
      </c>
      <c r="Y54" t="s">
        <v>21</v>
      </c>
      <c r="Z54" t="s">
        <v>20</v>
      </c>
    </row>
    <row r="55" spans="1:26" x14ac:dyDescent="0.25">
      <c r="A55" t="str">
        <f>"04-22"</f>
        <v>04-22</v>
      </c>
      <c r="B55" t="s">
        <v>480</v>
      </c>
      <c r="C55" t="s">
        <v>2376</v>
      </c>
      <c r="D55" t="s">
        <v>481</v>
      </c>
      <c r="E55" t="s">
        <v>320</v>
      </c>
      <c r="F55" t="s">
        <v>149</v>
      </c>
      <c r="G55" t="s">
        <v>55</v>
      </c>
      <c r="H55" t="s">
        <v>56</v>
      </c>
      <c r="I55" t="str">
        <f>"712-262-5965"</f>
        <v>712-262-5965</v>
      </c>
      <c r="J55" s="11">
        <v>4</v>
      </c>
      <c r="K55" s="11">
        <v>20</v>
      </c>
      <c r="L55" s="11">
        <v>20</v>
      </c>
      <c r="M55" s="11" t="s">
        <v>3049</v>
      </c>
      <c r="N55" s="14">
        <v>43675</v>
      </c>
      <c r="P55" t="s">
        <v>482</v>
      </c>
      <c r="Q55" t="s">
        <v>58</v>
      </c>
      <c r="R55" t="s">
        <v>59</v>
      </c>
      <c r="T55" t="s">
        <v>60</v>
      </c>
      <c r="U55" t="s">
        <v>18</v>
      </c>
      <c r="V55" s="6" t="s">
        <v>2888</v>
      </c>
      <c r="W55" t="s">
        <v>61</v>
      </c>
      <c r="X55" t="str">
        <f>"515-262-5965"</f>
        <v>515-262-5965</v>
      </c>
      <c r="Y55" t="s">
        <v>21</v>
      </c>
      <c r="Z55" t="s">
        <v>62</v>
      </c>
    </row>
    <row r="56" spans="1:26" x14ac:dyDescent="0.25">
      <c r="A56" t="str">
        <f>"06-09"</f>
        <v>06-09</v>
      </c>
      <c r="B56" t="s">
        <v>681</v>
      </c>
      <c r="C56" t="s">
        <v>2417</v>
      </c>
      <c r="D56" t="s">
        <v>682</v>
      </c>
      <c r="E56" t="s">
        <v>320</v>
      </c>
      <c r="F56" t="s">
        <v>149</v>
      </c>
      <c r="G56" t="s">
        <v>315</v>
      </c>
      <c r="H56" t="s">
        <v>316</v>
      </c>
      <c r="I56" t="str">
        <f>"319-364-0259"</f>
        <v>319-364-0259</v>
      </c>
      <c r="J56" s="11">
        <v>2</v>
      </c>
      <c r="K56" s="11">
        <v>24</v>
      </c>
      <c r="L56" s="11">
        <v>24</v>
      </c>
      <c r="M56" s="11" t="s">
        <v>3049</v>
      </c>
      <c r="N56" s="14">
        <v>44040</v>
      </c>
      <c r="P56" t="s">
        <v>683</v>
      </c>
      <c r="Q56" t="s">
        <v>684</v>
      </c>
      <c r="R56" t="s">
        <v>685</v>
      </c>
      <c r="T56" t="s">
        <v>320</v>
      </c>
      <c r="U56" t="s">
        <v>18</v>
      </c>
      <c r="V56" s="6" t="s">
        <v>2941</v>
      </c>
      <c r="W56" t="s">
        <v>686</v>
      </c>
      <c r="X56" t="str">
        <f>"319-390-4611"</f>
        <v>319-390-4611</v>
      </c>
      <c r="Y56" t="s">
        <v>21</v>
      </c>
      <c r="Z56" t="s">
        <v>20</v>
      </c>
    </row>
    <row r="57" spans="1:26" x14ac:dyDescent="0.25">
      <c r="A57" t="str">
        <f>"06-13"</f>
        <v>06-13</v>
      </c>
      <c r="C57" t="s">
        <v>2421</v>
      </c>
      <c r="D57" t="s">
        <v>699</v>
      </c>
      <c r="E57" t="s">
        <v>320</v>
      </c>
      <c r="F57" t="s">
        <v>149</v>
      </c>
      <c r="G57" t="s">
        <v>78</v>
      </c>
      <c r="H57" t="s">
        <v>79</v>
      </c>
      <c r="I57" t="str">
        <f>"515-225-4782"</f>
        <v>515-225-4782</v>
      </c>
      <c r="J57" s="11">
        <v>1</v>
      </c>
      <c r="K57" s="11">
        <v>55</v>
      </c>
      <c r="L57" s="11">
        <v>55</v>
      </c>
      <c r="M57" s="11" t="s">
        <v>3050</v>
      </c>
      <c r="N57" s="14">
        <v>43221</v>
      </c>
      <c r="P57" t="s">
        <v>700</v>
      </c>
      <c r="Q57" t="s">
        <v>81</v>
      </c>
      <c r="R57" t="s">
        <v>82</v>
      </c>
      <c r="S57" t="s">
        <v>83</v>
      </c>
      <c r="T57" t="s">
        <v>84</v>
      </c>
      <c r="U57" t="s">
        <v>18</v>
      </c>
      <c r="V57" s="6" t="s">
        <v>2890</v>
      </c>
      <c r="W57" t="s">
        <v>85</v>
      </c>
      <c r="X57" t="str">
        <f>"319-338-7600"</f>
        <v>319-338-7600</v>
      </c>
      <c r="Y57" t="s">
        <v>21</v>
      </c>
      <c r="Z57" t="s">
        <v>62</v>
      </c>
    </row>
    <row r="58" spans="1:26" x14ac:dyDescent="0.25">
      <c r="A58" t="str">
        <f>"08-0917"</f>
        <v>08-0917</v>
      </c>
      <c r="B58" t="s">
        <v>970</v>
      </c>
      <c r="C58" t="s">
        <v>2464</v>
      </c>
      <c r="D58" t="s">
        <v>971</v>
      </c>
      <c r="E58" t="s">
        <v>320</v>
      </c>
      <c r="F58" t="s">
        <v>149</v>
      </c>
      <c r="G58" t="s">
        <v>24</v>
      </c>
      <c r="H58" t="s">
        <v>25</v>
      </c>
      <c r="I58" t="str">
        <f>"319-415-7610"</f>
        <v>319-415-7610</v>
      </c>
      <c r="J58" s="11">
        <v>1</v>
      </c>
      <c r="K58" s="11">
        <v>45</v>
      </c>
      <c r="L58" s="11">
        <v>36</v>
      </c>
      <c r="M58" s="11" t="s">
        <v>3149</v>
      </c>
      <c r="N58" s="14">
        <v>43895</v>
      </c>
      <c r="P58" t="s">
        <v>972</v>
      </c>
      <c r="Q58" t="s">
        <v>811</v>
      </c>
      <c r="R58" t="s">
        <v>812</v>
      </c>
      <c r="S58" t="s">
        <v>813</v>
      </c>
      <c r="T58" t="s">
        <v>540</v>
      </c>
      <c r="U58" t="s">
        <v>31</v>
      </c>
      <c r="V58" s="6" t="s">
        <v>2949</v>
      </c>
      <c r="W58" t="s">
        <v>814</v>
      </c>
      <c r="X58" t="str">
        <f>"651-523-1252"</f>
        <v>651-523-1252</v>
      </c>
      <c r="Y58" t="s">
        <v>21</v>
      </c>
      <c r="Z58" t="s">
        <v>20</v>
      </c>
    </row>
    <row r="59" spans="1:26" x14ac:dyDescent="0.25">
      <c r="A59" t="str">
        <f>"08-0921"</f>
        <v>08-0921</v>
      </c>
      <c r="C59" t="s">
        <v>2465</v>
      </c>
      <c r="D59" t="s">
        <v>973</v>
      </c>
      <c r="E59" t="s">
        <v>320</v>
      </c>
      <c r="F59" t="s">
        <v>149</v>
      </c>
      <c r="G59" t="s">
        <v>534</v>
      </c>
      <c r="H59" t="s">
        <v>535</v>
      </c>
      <c r="I59" t="str">
        <f>"612-337-2658"</f>
        <v>612-337-2658</v>
      </c>
      <c r="J59" s="11">
        <v>1</v>
      </c>
      <c r="K59" s="11">
        <v>96</v>
      </c>
      <c r="L59" s="11">
        <v>92</v>
      </c>
      <c r="M59" s="11" t="s">
        <v>3050</v>
      </c>
      <c r="N59" s="14">
        <v>44113</v>
      </c>
      <c r="P59" t="s">
        <v>974</v>
      </c>
      <c r="Q59" t="s">
        <v>537</v>
      </c>
      <c r="R59" t="s">
        <v>538</v>
      </c>
      <c r="S59" t="s">
        <v>539</v>
      </c>
      <c r="T59" t="s">
        <v>540</v>
      </c>
      <c r="U59" t="s">
        <v>31</v>
      </c>
      <c r="V59" s="6" t="s">
        <v>2929</v>
      </c>
      <c r="W59" t="s">
        <v>541</v>
      </c>
      <c r="X59" t="str">
        <f>"612-332-3000"</f>
        <v>612-332-3000</v>
      </c>
      <c r="Y59" t="s">
        <v>151</v>
      </c>
      <c r="Z59" t="s">
        <v>44</v>
      </c>
    </row>
    <row r="60" spans="1:26" x14ac:dyDescent="0.25">
      <c r="A60" t="str">
        <f>"08-0935"</f>
        <v>08-0935</v>
      </c>
      <c r="B60" t="s">
        <v>984</v>
      </c>
      <c r="C60" t="s">
        <v>2470</v>
      </c>
      <c r="D60" t="s">
        <v>985</v>
      </c>
      <c r="E60" t="s">
        <v>320</v>
      </c>
      <c r="F60" t="s">
        <v>149</v>
      </c>
      <c r="G60" t="s">
        <v>55</v>
      </c>
      <c r="H60" t="s">
        <v>56</v>
      </c>
      <c r="I60" t="str">
        <f>"712-262-5965"</f>
        <v>712-262-5965</v>
      </c>
      <c r="J60" s="11">
        <v>3</v>
      </c>
      <c r="K60" s="11">
        <v>24</v>
      </c>
      <c r="L60" s="11">
        <v>24</v>
      </c>
      <c r="M60" s="11" t="s">
        <v>3049</v>
      </c>
      <c r="N60" s="14">
        <v>43675</v>
      </c>
      <c r="P60" t="s">
        <v>986</v>
      </c>
      <c r="Q60" t="s">
        <v>58</v>
      </c>
      <c r="R60" t="s">
        <v>59</v>
      </c>
      <c r="T60" t="s">
        <v>60</v>
      </c>
      <c r="U60" t="s">
        <v>18</v>
      </c>
      <c r="V60" s="6" t="s">
        <v>2888</v>
      </c>
      <c r="W60" t="s">
        <v>61</v>
      </c>
      <c r="X60" t="str">
        <f>"515-262-5965"</f>
        <v>515-262-5965</v>
      </c>
      <c r="Y60" t="s">
        <v>21</v>
      </c>
      <c r="Z60" t="s">
        <v>62</v>
      </c>
    </row>
    <row r="61" spans="1:26" x14ac:dyDescent="0.25">
      <c r="A61" t="str">
        <f>"08-22"</f>
        <v>08-22</v>
      </c>
      <c r="C61" t="s">
        <v>2472</v>
      </c>
      <c r="D61" t="s">
        <v>990</v>
      </c>
      <c r="E61" t="s">
        <v>320</v>
      </c>
      <c r="F61" t="s">
        <v>149</v>
      </c>
      <c r="G61" t="s">
        <v>315</v>
      </c>
      <c r="H61" t="s">
        <v>316</v>
      </c>
      <c r="I61" t="str">
        <f>"319-364-0259"</f>
        <v>319-364-0259</v>
      </c>
      <c r="J61" s="11">
        <v>1</v>
      </c>
      <c r="K61" s="11">
        <v>15</v>
      </c>
      <c r="L61" s="11">
        <v>15</v>
      </c>
      <c r="M61" s="11" t="s">
        <v>3050</v>
      </c>
      <c r="N61" s="14">
        <v>44158</v>
      </c>
      <c r="P61" t="s">
        <v>991</v>
      </c>
      <c r="Q61" t="s">
        <v>318</v>
      </c>
      <c r="R61" t="s">
        <v>319</v>
      </c>
      <c r="T61" t="s">
        <v>320</v>
      </c>
      <c r="U61" t="s">
        <v>18</v>
      </c>
      <c r="V61" s="6" t="s">
        <v>2911</v>
      </c>
      <c r="W61" t="s">
        <v>321</v>
      </c>
      <c r="X61" t="str">
        <f>"319-784-2030"</f>
        <v>319-784-2030</v>
      </c>
      <c r="Y61" t="s">
        <v>33</v>
      </c>
      <c r="Z61" t="s">
        <v>20</v>
      </c>
    </row>
    <row r="62" spans="1:26" x14ac:dyDescent="0.25">
      <c r="A62" t="str">
        <f>"09-0926"</f>
        <v>09-0926</v>
      </c>
      <c r="C62" t="s">
        <v>2483</v>
      </c>
      <c r="D62" t="s">
        <v>1039</v>
      </c>
      <c r="E62" t="s">
        <v>320</v>
      </c>
      <c r="F62" t="s">
        <v>149</v>
      </c>
      <c r="G62" t="s">
        <v>288</v>
      </c>
      <c r="H62" t="s">
        <v>289</v>
      </c>
      <c r="I62" t="str">
        <f>"515-314-5481"</f>
        <v>515-314-5481</v>
      </c>
      <c r="J62" s="11">
        <v>2</v>
      </c>
      <c r="K62" s="11">
        <v>97</v>
      </c>
      <c r="L62" s="11">
        <v>96</v>
      </c>
      <c r="M62" s="11" t="s">
        <v>3050</v>
      </c>
      <c r="N62" s="14">
        <v>44095</v>
      </c>
      <c r="P62" t="s">
        <v>1040</v>
      </c>
      <c r="Q62" t="s">
        <v>289</v>
      </c>
      <c r="R62" t="s">
        <v>291</v>
      </c>
      <c r="T62" t="s">
        <v>60</v>
      </c>
      <c r="U62" t="s">
        <v>18</v>
      </c>
      <c r="V62" s="6" t="s">
        <v>2951</v>
      </c>
      <c r="W62" t="s">
        <v>2878</v>
      </c>
      <c r="X62" t="str">
        <f>"515-314-5481"</f>
        <v>515-314-5481</v>
      </c>
      <c r="Y62" t="s">
        <v>21</v>
      </c>
      <c r="Z62" t="s">
        <v>116</v>
      </c>
    </row>
    <row r="63" spans="1:26" x14ac:dyDescent="0.25">
      <c r="A63" t="str">
        <f>"09-0941"</f>
        <v>09-0941</v>
      </c>
      <c r="B63" t="s">
        <v>1062</v>
      </c>
      <c r="C63" t="s">
        <v>2489</v>
      </c>
      <c r="D63" t="s">
        <v>1063</v>
      </c>
      <c r="E63" t="s">
        <v>320</v>
      </c>
      <c r="F63" t="s">
        <v>149</v>
      </c>
      <c r="G63" t="s">
        <v>439</v>
      </c>
      <c r="H63" t="s">
        <v>440</v>
      </c>
      <c r="I63" t="str">
        <f>"952-447-2345"</f>
        <v>952-447-2345</v>
      </c>
      <c r="J63" s="11">
        <v>18</v>
      </c>
      <c r="K63" s="11">
        <v>90</v>
      </c>
      <c r="L63" s="11">
        <v>90</v>
      </c>
      <c r="M63" s="11" t="s">
        <v>3149</v>
      </c>
      <c r="N63" s="14">
        <v>43992</v>
      </c>
      <c r="P63" t="s">
        <v>1064</v>
      </c>
      <c r="Q63" t="s">
        <v>440</v>
      </c>
      <c r="R63" t="s">
        <v>442</v>
      </c>
      <c r="S63" t="s">
        <v>443</v>
      </c>
      <c r="T63" t="s">
        <v>444</v>
      </c>
      <c r="U63" t="s">
        <v>31</v>
      </c>
      <c r="V63" s="6" t="s">
        <v>2923</v>
      </c>
      <c r="W63" t="s">
        <v>445</v>
      </c>
      <c r="X63" t="str">
        <f>"952-447-2345"</f>
        <v>952-447-2345</v>
      </c>
      <c r="Y63" t="s">
        <v>21</v>
      </c>
      <c r="Z63" t="s">
        <v>44</v>
      </c>
    </row>
    <row r="64" spans="1:26" x14ac:dyDescent="0.25">
      <c r="A64" t="str">
        <f>"09-0956"</f>
        <v>09-0956</v>
      </c>
      <c r="B64" t="s">
        <v>1082</v>
      </c>
      <c r="C64" t="s">
        <v>2491</v>
      </c>
      <c r="D64" t="s">
        <v>1083</v>
      </c>
      <c r="E64" t="s">
        <v>320</v>
      </c>
      <c r="F64" t="s">
        <v>149</v>
      </c>
      <c r="G64" t="s">
        <v>55</v>
      </c>
      <c r="H64" t="s">
        <v>56</v>
      </c>
      <c r="I64" t="str">
        <f>"712-262-5965"</f>
        <v>712-262-5965</v>
      </c>
      <c r="J64" s="11">
        <v>20</v>
      </c>
      <c r="K64" s="11">
        <v>20</v>
      </c>
      <c r="L64" s="11">
        <v>20</v>
      </c>
      <c r="M64" s="11" t="s">
        <v>3049</v>
      </c>
      <c r="N64" s="14">
        <v>43855</v>
      </c>
      <c r="P64" t="s">
        <v>1084</v>
      </c>
      <c r="Q64" t="s">
        <v>58</v>
      </c>
      <c r="R64" t="s">
        <v>59</v>
      </c>
      <c r="T64" t="s">
        <v>60</v>
      </c>
      <c r="U64" t="s">
        <v>18</v>
      </c>
      <c r="V64" s="6" t="s">
        <v>2888</v>
      </c>
      <c r="W64" t="s">
        <v>61</v>
      </c>
      <c r="X64" t="str">
        <f>"515-262-5965"</f>
        <v>515-262-5965</v>
      </c>
      <c r="Y64" t="s">
        <v>21</v>
      </c>
      <c r="Z64" t="s">
        <v>62</v>
      </c>
    </row>
    <row r="65" spans="1:26" x14ac:dyDescent="0.25">
      <c r="A65" t="str">
        <f>"11-11-1"</f>
        <v>11-11-1</v>
      </c>
      <c r="C65" t="s">
        <v>2531</v>
      </c>
      <c r="D65" t="s">
        <v>1282</v>
      </c>
      <c r="E65" t="s">
        <v>320</v>
      </c>
      <c r="F65" t="s">
        <v>149</v>
      </c>
      <c r="G65" t="s">
        <v>851</v>
      </c>
      <c r="H65" t="s">
        <v>852</v>
      </c>
      <c r="I65" t="str">
        <f>"515-490-9001"</f>
        <v>515-490-9001</v>
      </c>
      <c r="J65" s="11">
        <v>1</v>
      </c>
      <c r="K65" s="11">
        <v>60</v>
      </c>
      <c r="L65" s="11">
        <v>60</v>
      </c>
      <c r="M65" s="11" t="s">
        <v>3050</v>
      </c>
      <c r="N65" s="14">
        <v>44112</v>
      </c>
      <c r="P65" t="s">
        <v>1283</v>
      </c>
      <c r="Q65" t="s">
        <v>1117</v>
      </c>
      <c r="R65" t="s">
        <v>1118</v>
      </c>
      <c r="S65" t="s">
        <v>1119</v>
      </c>
      <c r="T65" t="s">
        <v>1120</v>
      </c>
      <c r="U65" t="s">
        <v>454</v>
      </c>
      <c r="V65" s="6" t="s">
        <v>2971</v>
      </c>
      <c r="W65" t="s">
        <v>1121</v>
      </c>
      <c r="X65" t="str">
        <f>"815-540-4733"</f>
        <v>815-540-4733</v>
      </c>
      <c r="Y65" t="s">
        <v>21</v>
      </c>
      <c r="Z65" t="s">
        <v>44</v>
      </c>
    </row>
    <row r="66" spans="1:26" x14ac:dyDescent="0.25">
      <c r="A66" t="s">
        <v>1411</v>
      </c>
      <c r="B66" t="s">
        <v>1411</v>
      </c>
      <c r="C66" t="s">
        <v>2562</v>
      </c>
      <c r="D66" t="s">
        <v>1412</v>
      </c>
      <c r="E66" t="s">
        <v>320</v>
      </c>
      <c r="F66" t="s">
        <v>149</v>
      </c>
      <c r="G66" t="s">
        <v>315</v>
      </c>
      <c r="H66" t="s">
        <v>316</v>
      </c>
      <c r="I66" t="str">
        <f>"319-364-0259"</f>
        <v>319-364-0259</v>
      </c>
      <c r="J66" s="11">
        <v>0</v>
      </c>
      <c r="K66" s="11">
        <v>4</v>
      </c>
      <c r="L66" s="11">
        <v>4</v>
      </c>
      <c r="M66" s="11" t="s">
        <v>3050</v>
      </c>
      <c r="N66" s="14">
        <v>43705</v>
      </c>
      <c r="P66" t="s">
        <v>315</v>
      </c>
      <c r="Q66" t="s">
        <v>318</v>
      </c>
      <c r="R66" t="s">
        <v>319</v>
      </c>
      <c r="T66" t="s">
        <v>320</v>
      </c>
      <c r="U66" t="s">
        <v>18</v>
      </c>
      <c r="V66" s="6" t="s">
        <v>2911</v>
      </c>
      <c r="W66" t="s">
        <v>321</v>
      </c>
      <c r="X66" t="str">
        <f>"319-784-2030"</f>
        <v>319-784-2030</v>
      </c>
      <c r="Y66" t="s">
        <v>151</v>
      </c>
      <c r="Z66" t="s">
        <v>20</v>
      </c>
    </row>
    <row r="67" spans="1:26" x14ac:dyDescent="0.25">
      <c r="A67" t="s">
        <v>1471</v>
      </c>
      <c r="B67" t="s">
        <v>1471</v>
      </c>
      <c r="C67" t="s">
        <v>2577</v>
      </c>
      <c r="D67" t="s">
        <v>1472</v>
      </c>
      <c r="E67" t="s">
        <v>320</v>
      </c>
      <c r="F67" t="s">
        <v>149</v>
      </c>
      <c r="G67" t="s">
        <v>315</v>
      </c>
      <c r="H67" t="s">
        <v>316</v>
      </c>
      <c r="I67" t="str">
        <f>"319-364-0259"</f>
        <v>319-364-0259</v>
      </c>
      <c r="J67" s="11">
        <v>0</v>
      </c>
      <c r="K67" s="11">
        <v>2</v>
      </c>
      <c r="L67" s="11">
        <v>2</v>
      </c>
      <c r="M67" s="11" t="s">
        <v>3050</v>
      </c>
      <c r="N67" s="14">
        <v>43920</v>
      </c>
      <c r="P67" t="s">
        <v>315</v>
      </c>
      <c r="Q67" t="s">
        <v>318</v>
      </c>
      <c r="R67" t="s">
        <v>319</v>
      </c>
      <c r="T67" t="s">
        <v>320</v>
      </c>
      <c r="U67" t="s">
        <v>18</v>
      </c>
      <c r="V67" s="6" t="s">
        <v>2911</v>
      </c>
      <c r="W67" t="s">
        <v>321</v>
      </c>
      <c r="X67" t="str">
        <f>"319-784-2030"</f>
        <v>319-784-2030</v>
      </c>
      <c r="Y67" t="s">
        <v>151</v>
      </c>
      <c r="Z67" t="s">
        <v>20</v>
      </c>
    </row>
    <row r="68" spans="1:26" x14ac:dyDescent="0.25">
      <c r="A68" t="s">
        <v>1475</v>
      </c>
      <c r="B68" t="s">
        <v>1475</v>
      </c>
      <c r="C68" t="s">
        <v>2578</v>
      </c>
      <c r="D68" t="s">
        <v>1476</v>
      </c>
      <c r="E68" t="s">
        <v>320</v>
      </c>
      <c r="F68" t="s">
        <v>149</v>
      </c>
      <c r="G68" t="s">
        <v>315</v>
      </c>
      <c r="H68" t="s">
        <v>316</v>
      </c>
      <c r="I68" t="str">
        <f>"319-364-0259"</f>
        <v>319-364-0259</v>
      </c>
      <c r="J68" s="11">
        <v>0</v>
      </c>
      <c r="K68" s="11">
        <v>12</v>
      </c>
      <c r="L68" s="11">
        <v>9</v>
      </c>
      <c r="M68" s="11" t="s">
        <v>3049</v>
      </c>
      <c r="N68" s="14">
        <v>43550</v>
      </c>
      <c r="P68" t="s">
        <v>315</v>
      </c>
      <c r="Q68" t="s">
        <v>318</v>
      </c>
      <c r="R68" t="s">
        <v>319</v>
      </c>
      <c r="T68" t="s">
        <v>320</v>
      </c>
      <c r="U68" t="s">
        <v>18</v>
      </c>
      <c r="V68" s="6" t="s">
        <v>2911</v>
      </c>
      <c r="W68" t="s">
        <v>321</v>
      </c>
      <c r="X68" t="str">
        <f>"319-784-2030"</f>
        <v>319-784-2030</v>
      </c>
      <c r="Y68" t="s">
        <v>151</v>
      </c>
      <c r="Z68" t="s">
        <v>20</v>
      </c>
    </row>
    <row r="69" spans="1:26" x14ac:dyDescent="0.25">
      <c r="A69" t="s">
        <v>1477</v>
      </c>
      <c r="B69" t="s">
        <v>1477</v>
      </c>
      <c r="C69" t="s">
        <v>2579</v>
      </c>
      <c r="D69" t="s">
        <v>1478</v>
      </c>
      <c r="E69" t="s">
        <v>320</v>
      </c>
      <c r="F69" t="s">
        <v>149</v>
      </c>
      <c r="G69" t="s">
        <v>315</v>
      </c>
      <c r="H69" t="s">
        <v>316</v>
      </c>
      <c r="I69" t="str">
        <f>"319-364-0259"</f>
        <v>319-364-0259</v>
      </c>
      <c r="J69" s="11">
        <v>0</v>
      </c>
      <c r="K69" s="11">
        <v>2</v>
      </c>
      <c r="L69" s="11">
        <v>2</v>
      </c>
      <c r="M69" s="11" t="s">
        <v>3050</v>
      </c>
      <c r="N69" s="14">
        <v>44158</v>
      </c>
      <c r="P69" t="s">
        <v>315</v>
      </c>
      <c r="Q69" t="s">
        <v>318</v>
      </c>
      <c r="R69" t="s">
        <v>319</v>
      </c>
      <c r="T69" t="s">
        <v>320</v>
      </c>
      <c r="U69" t="s">
        <v>18</v>
      </c>
      <c r="V69" s="6" t="s">
        <v>2911</v>
      </c>
      <c r="W69" t="s">
        <v>321</v>
      </c>
      <c r="X69" t="str">
        <f>"319-784-2030"</f>
        <v>319-784-2030</v>
      </c>
      <c r="Y69" t="s">
        <v>33</v>
      </c>
      <c r="Z69" t="s">
        <v>20</v>
      </c>
    </row>
    <row r="70" spans="1:26" x14ac:dyDescent="0.25">
      <c r="A70" t="str">
        <f>"14-14-27"</f>
        <v>14-14-27</v>
      </c>
      <c r="C70" t="s">
        <v>2583</v>
      </c>
      <c r="D70" t="s">
        <v>1501</v>
      </c>
      <c r="E70" t="s">
        <v>320</v>
      </c>
      <c r="F70" t="s">
        <v>149</v>
      </c>
      <c r="G70" t="s">
        <v>1502</v>
      </c>
      <c r="H70" t="s">
        <v>1503</v>
      </c>
      <c r="I70" t="str">
        <f>"320-202-3100"</f>
        <v>320-202-3100</v>
      </c>
      <c r="J70" s="11">
        <v>1</v>
      </c>
      <c r="K70" s="11">
        <v>64</v>
      </c>
      <c r="L70" s="11">
        <v>54</v>
      </c>
      <c r="M70" s="11" t="s">
        <v>3050</v>
      </c>
      <c r="N70" s="14">
        <v>43895</v>
      </c>
      <c r="P70" t="s">
        <v>1504</v>
      </c>
      <c r="Q70" t="s">
        <v>1505</v>
      </c>
      <c r="R70" t="s">
        <v>1506</v>
      </c>
      <c r="S70" t="s">
        <v>1507</v>
      </c>
      <c r="T70" t="s">
        <v>1508</v>
      </c>
      <c r="U70" t="s">
        <v>31</v>
      </c>
      <c r="V70" s="6" t="s">
        <v>2993</v>
      </c>
      <c r="W70" t="s">
        <v>1509</v>
      </c>
      <c r="X70" t="str">
        <f>"320-202-3100"</f>
        <v>320-202-3100</v>
      </c>
      <c r="Y70" t="s">
        <v>21</v>
      </c>
      <c r="Z70" t="s">
        <v>44</v>
      </c>
    </row>
    <row r="71" spans="1:26" x14ac:dyDescent="0.25">
      <c r="A71" t="str">
        <f>"14-14-6"</f>
        <v>14-14-6</v>
      </c>
      <c r="C71" t="s">
        <v>2591</v>
      </c>
      <c r="D71" t="s">
        <v>1547</v>
      </c>
      <c r="E71" t="s">
        <v>320</v>
      </c>
      <c r="F71" t="s">
        <v>149</v>
      </c>
      <c r="G71" t="s">
        <v>352</v>
      </c>
      <c r="H71" t="s">
        <v>1548</v>
      </c>
      <c r="I71" t="str">
        <f>"317-252-0217"</f>
        <v>317-252-0217</v>
      </c>
      <c r="J71" s="11">
        <v>1</v>
      </c>
      <c r="K71" s="11">
        <v>84</v>
      </c>
      <c r="L71" s="11">
        <v>77</v>
      </c>
      <c r="M71" s="11" t="s">
        <v>3050</v>
      </c>
      <c r="N71" s="14">
        <v>43920</v>
      </c>
      <c r="P71" t="s">
        <v>1549</v>
      </c>
      <c r="Q71" t="s">
        <v>1550</v>
      </c>
      <c r="R71" t="s">
        <v>1551</v>
      </c>
      <c r="S71" t="s">
        <v>357</v>
      </c>
      <c r="T71" t="s">
        <v>358</v>
      </c>
      <c r="U71" t="s">
        <v>359</v>
      </c>
      <c r="V71" s="6" t="s">
        <v>2998</v>
      </c>
      <c r="W71" t="s">
        <v>1552</v>
      </c>
      <c r="X71" t="str">
        <f>"317-252-0221"</f>
        <v>317-252-0221</v>
      </c>
      <c r="Y71" t="s">
        <v>151</v>
      </c>
      <c r="Z71" t="s">
        <v>20</v>
      </c>
    </row>
    <row r="72" spans="1:26" x14ac:dyDescent="0.25">
      <c r="A72" t="str">
        <f>"16-33"</f>
        <v>16-33</v>
      </c>
      <c r="C72" t="s">
        <v>2618</v>
      </c>
      <c r="D72" t="s">
        <v>1668</v>
      </c>
      <c r="E72" t="s">
        <v>320</v>
      </c>
      <c r="F72" t="s">
        <v>149</v>
      </c>
      <c r="G72" t="s">
        <v>1026</v>
      </c>
      <c r="H72" t="s">
        <v>1027</v>
      </c>
      <c r="I72" t="str">
        <f>"651-291-1750"</f>
        <v>651-291-1750</v>
      </c>
      <c r="J72" s="11">
        <v>1</v>
      </c>
      <c r="K72" s="11">
        <v>45</v>
      </c>
      <c r="L72" s="11">
        <v>41</v>
      </c>
      <c r="M72" s="11" t="s">
        <v>3050</v>
      </c>
      <c r="N72" s="14">
        <v>43853</v>
      </c>
      <c r="P72" t="s">
        <v>1669</v>
      </c>
      <c r="Q72" t="s">
        <v>1027</v>
      </c>
      <c r="R72" t="s">
        <v>1029</v>
      </c>
      <c r="T72" t="s">
        <v>30</v>
      </c>
      <c r="U72" t="s">
        <v>31</v>
      </c>
      <c r="V72" s="6" t="s">
        <v>3009</v>
      </c>
      <c r="W72" t="s">
        <v>1030</v>
      </c>
      <c r="X72" t="str">
        <f>"651-291-1750"</f>
        <v>651-291-1750</v>
      </c>
      <c r="Y72" t="s">
        <v>21</v>
      </c>
      <c r="Z72" t="s">
        <v>103</v>
      </c>
    </row>
    <row r="73" spans="1:26" x14ac:dyDescent="0.25">
      <c r="A73" t="str">
        <f>"17-14"</f>
        <v>17-14</v>
      </c>
      <c r="C73" t="s">
        <v>2626</v>
      </c>
      <c r="D73" t="s">
        <v>1695</v>
      </c>
      <c r="E73" t="s">
        <v>320</v>
      </c>
      <c r="F73" t="s">
        <v>149</v>
      </c>
      <c r="G73" t="s">
        <v>352</v>
      </c>
      <c r="H73" t="s">
        <v>1548</v>
      </c>
      <c r="I73" t="str">
        <f>"317-252-0217"</f>
        <v>317-252-0217</v>
      </c>
      <c r="J73" s="11">
        <v>1</v>
      </c>
      <c r="K73" s="11">
        <v>52</v>
      </c>
      <c r="L73" s="11">
        <v>46</v>
      </c>
      <c r="M73" s="11" t="s">
        <v>3050</v>
      </c>
      <c r="N73" s="14">
        <v>44095</v>
      </c>
      <c r="P73" t="s">
        <v>1696</v>
      </c>
      <c r="Q73" t="s">
        <v>204</v>
      </c>
      <c r="R73" t="s">
        <v>234</v>
      </c>
      <c r="S73" t="s">
        <v>235</v>
      </c>
      <c r="T73" t="s">
        <v>60</v>
      </c>
      <c r="U73" t="s">
        <v>18</v>
      </c>
      <c r="V73" s="6" t="s">
        <v>2904</v>
      </c>
      <c r="W73" t="s">
        <v>236</v>
      </c>
      <c r="X73" t="str">
        <f>"515-244-8308"</f>
        <v>515-244-8308</v>
      </c>
      <c r="Y73" t="s">
        <v>21</v>
      </c>
      <c r="Z73" t="s">
        <v>20</v>
      </c>
    </row>
    <row r="74" spans="1:26" x14ac:dyDescent="0.25">
      <c r="A74" t="str">
        <f>"17-21"</f>
        <v>17-21</v>
      </c>
      <c r="C74" t="s">
        <v>2630</v>
      </c>
      <c r="D74" t="s">
        <v>1703</v>
      </c>
      <c r="E74" t="s">
        <v>320</v>
      </c>
      <c r="F74" t="s">
        <v>149</v>
      </c>
      <c r="G74" t="s">
        <v>288</v>
      </c>
      <c r="H74" t="s">
        <v>289</v>
      </c>
      <c r="I74" t="str">
        <f>"515-314-5481"</f>
        <v>515-314-5481</v>
      </c>
      <c r="J74" s="11">
        <v>1</v>
      </c>
      <c r="K74" s="11">
        <v>36</v>
      </c>
      <c r="L74" s="11">
        <v>32</v>
      </c>
      <c r="M74" s="11" t="s">
        <v>3050</v>
      </c>
      <c r="N74" s="14">
        <v>44040</v>
      </c>
      <c r="P74" t="s">
        <v>1704</v>
      </c>
      <c r="Q74" t="s">
        <v>1705</v>
      </c>
      <c r="R74" t="s">
        <v>1706</v>
      </c>
      <c r="S74" t="s">
        <v>100</v>
      </c>
      <c r="T74" t="s">
        <v>320</v>
      </c>
      <c r="U74" t="s">
        <v>18</v>
      </c>
      <c r="V74" s="6" t="s">
        <v>3014</v>
      </c>
      <c r="W74" t="s">
        <v>1707</v>
      </c>
      <c r="X74" t="str">
        <f>"319-363-3900"</f>
        <v>319-363-3900</v>
      </c>
      <c r="Y74" t="s">
        <v>21</v>
      </c>
      <c r="Z74" t="s">
        <v>116</v>
      </c>
    </row>
    <row r="75" spans="1:26" x14ac:dyDescent="0.25">
      <c r="A75" t="str">
        <f>"17-23"</f>
        <v>17-23</v>
      </c>
      <c r="C75" t="s">
        <v>2631</v>
      </c>
      <c r="D75" t="s">
        <v>1708</v>
      </c>
      <c r="E75" t="s">
        <v>320</v>
      </c>
      <c r="F75" t="s">
        <v>149</v>
      </c>
      <c r="G75" t="s">
        <v>1153</v>
      </c>
      <c r="H75" t="s">
        <v>1154</v>
      </c>
      <c r="I75" t="str">
        <f>"513-964-1151"</f>
        <v>513-964-1151</v>
      </c>
      <c r="J75" s="11">
        <v>1</v>
      </c>
      <c r="K75" s="11">
        <v>51</v>
      </c>
      <c r="L75" s="11">
        <v>45</v>
      </c>
      <c r="M75" s="11" t="s">
        <v>3050</v>
      </c>
      <c r="N75" s="14">
        <v>43853</v>
      </c>
      <c r="P75" t="s">
        <v>1709</v>
      </c>
      <c r="Q75" t="s">
        <v>1156</v>
      </c>
      <c r="R75" t="s">
        <v>1157</v>
      </c>
      <c r="S75" t="s">
        <v>1158</v>
      </c>
      <c r="T75" t="s">
        <v>1159</v>
      </c>
      <c r="U75" t="s">
        <v>1160</v>
      </c>
      <c r="V75" s="6" t="s">
        <v>2973</v>
      </c>
      <c r="W75" t="s">
        <v>1161</v>
      </c>
      <c r="X75" t="str">
        <f>"513-964-1140"</f>
        <v>513-964-1140</v>
      </c>
      <c r="Y75" t="s">
        <v>21</v>
      </c>
      <c r="Z75" t="s">
        <v>103</v>
      </c>
    </row>
    <row r="76" spans="1:26" x14ac:dyDescent="0.25">
      <c r="A76" t="str">
        <f>"92-42"</f>
        <v>92-42</v>
      </c>
      <c r="C76" t="s">
        <v>2679</v>
      </c>
      <c r="D76" t="s">
        <v>1918</v>
      </c>
      <c r="E76" t="s">
        <v>320</v>
      </c>
      <c r="F76" t="s">
        <v>149</v>
      </c>
      <c r="G76" t="s">
        <v>324</v>
      </c>
      <c r="H76" t="s">
        <v>345</v>
      </c>
      <c r="I76" t="str">
        <f>"402-763-9465"</f>
        <v>402-763-9465</v>
      </c>
      <c r="J76" s="11">
        <v>3</v>
      </c>
      <c r="K76" s="11">
        <v>96</v>
      </c>
      <c r="L76" s="11">
        <v>96</v>
      </c>
      <c r="M76" s="11" t="s">
        <v>3051</v>
      </c>
      <c r="N76" s="14">
        <v>43705</v>
      </c>
      <c r="P76" t="s">
        <v>1919</v>
      </c>
      <c r="Q76" t="s">
        <v>347</v>
      </c>
      <c r="R76" t="s">
        <v>348</v>
      </c>
      <c r="T76" t="s">
        <v>216</v>
      </c>
      <c r="U76" t="s">
        <v>42</v>
      </c>
      <c r="V76" s="6" t="s">
        <v>2914</v>
      </c>
      <c r="W76" t="s">
        <v>349</v>
      </c>
      <c r="X76" t="str">
        <f>"402-952-4599"</f>
        <v>402-952-4599</v>
      </c>
      <c r="Z76" t="s">
        <v>103</v>
      </c>
    </row>
    <row r="77" spans="1:26" x14ac:dyDescent="0.25">
      <c r="A77" t="str">
        <f>"94-13"</f>
        <v>94-13</v>
      </c>
      <c r="C77" t="s">
        <v>2823</v>
      </c>
      <c r="D77" t="s">
        <v>1999</v>
      </c>
      <c r="E77" t="s">
        <v>320</v>
      </c>
      <c r="F77" t="s">
        <v>149</v>
      </c>
      <c r="G77" t="s">
        <v>447</v>
      </c>
      <c r="H77" t="s">
        <v>448</v>
      </c>
      <c r="I77" t="str">
        <f>"515-809-5400"</f>
        <v>515-809-5400</v>
      </c>
      <c r="J77" s="11">
        <v>12</v>
      </c>
      <c r="K77" s="11">
        <v>92</v>
      </c>
      <c r="L77" s="11">
        <v>91</v>
      </c>
      <c r="M77" s="11" t="s">
        <v>3051</v>
      </c>
      <c r="N77" s="14">
        <v>44158</v>
      </c>
      <c r="P77" t="s">
        <v>2000</v>
      </c>
      <c r="Q77" t="s">
        <v>450</v>
      </c>
      <c r="R77" t="s">
        <v>2001</v>
      </c>
      <c r="T77" t="s">
        <v>60</v>
      </c>
      <c r="U77" t="s">
        <v>18</v>
      </c>
      <c r="V77" s="6" t="s">
        <v>2944</v>
      </c>
      <c r="W77" t="s">
        <v>618</v>
      </c>
      <c r="X77" t="str">
        <f>"312-285-6335"</f>
        <v>312-285-6335</v>
      </c>
      <c r="Z77" t="s">
        <v>103</v>
      </c>
    </row>
    <row r="78" spans="1:26" x14ac:dyDescent="0.25">
      <c r="A78" t="str">
        <f>"94-16"</f>
        <v>94-16</v>
      </c>
      <c r="C78" t="s">
        <v>2697</v>
      </c>
      <c r="D78" t="s">
        <v>2008</v>
      </c>
      <c r="E78" t="s">
        <v>320</v>
      </c>
      <c r="F78" t="s">
        <v>149</v>
      </c>
      <c r="G78" t="s">
        <v>315</v>
      </c>
      <c r="H78" t="s">
        <v>316</v>
      </c>
      <c r="I78" t="str">
        <f>"319-364-0259"</f>
        <v>319-364-0259</v>
      </c>
      <c r="J78" s="11">
        <v>3</v>
      </c>
      <c r="K78" s="11">
        <v>24</v>
      </c>
      <c r="L78" s="11">
        <v>24</v>
      </c>
      <c r="M78" s="11" t="s">
        <v>3051</v>
      </c>
      <c r="N78" s="14">
        <v>43718</v>
      </c>
      <c r="P78" t="s">
        <v>315</v>
      </c>
      <c r="Q78" t="s">
        <v>318</v>
      </c>
      <c r="R78" t="s">
        <v>319</v>
      </c>
      <c r="T78" t="s">
        <v>320</v>
      </c>
      <c r="U78" t="s">
        <v>18</v>
      </c>
      <c r="V78" s="6" t="s">
        <v>2911</v>
      </c>
      <c r="W78" t="s">
        <v>321</v>
      </c>
      <c r="X78" t="str">
        <f>"319-784-2030"</f>
        <v>319-784-2030</v>
      </c>
      <c r="Z78" t="s">
        <v>20</v>
      </c>
    </row>
    <row r="79" spans="1:26" x14ac:dyDescent="0.25">
      <c r="A79" t="str">
        <f>"94-18"</f>
        <v>94-18</v>
      </c>
      <c r="C79" t="s">
        <v>2698</v>
      </c>
      <c r="D79" t="s">
        <v>2009</v>
      </c>
      <c r="E79" t="s">
        <v>320</v>
      </c>
      <c r="F79" t="s">
        <v>149</v>
      </c>
      <c r="G79" t="s">
        <v>447</v>
      </c>
      <c r="H79" t="s">
        <v>448</v>
      </c>
      <c r="I79" t="str">
        <f>"515-809-5400"</f>
        <v>515-809-5400</v>
      </c>
      <c r="J79" s="11">
        <v>4</v>
      </c>
      <c r="K79" s="11">
        <v>96</v>
      </c>
      <c r="L79" s="11">
        <v>95</v>
      </c>
      <c r="M79" s="11" t="s">
        <v>3051</v>
      </c>
      <c r="N79" s="14">
        <v>42958</v>
      </c>
      <c r="P79" t="s">
        <v>2010</v>
      </c>
      <c r="Q79" t="s">
        <v>450</v>
      </c>
      <c r="R79" t="s">
        <v>2001</v>
      </c>
      <c r="T79" t="s">
        <v>60</v>
      </c>
      <c r="U79" t="s">
        <v>18</v>
      </c>
      <c r="V79" s="6" t="s">
        <v>2944</v>
      </c>
      <c r="W79" t="s">
        <v>618</v>
      </c>
      <c r="X79" t="str">
        <f>"312-285-6335"</f>
        <v>312-285-6335</v>
      </c>
      <c r="Z79" t="s">
        <v>103</v>
      </c>
    </row>
    <row r="80" spans="1:26" x14ac:dyDescent="0.25">
      <c r="A80" t="str">
        <f>"95-27"</f>
        <v>95-27</v>
      </c>
      <c r="C80" t="s">
        <v>2707</v>
      </c>
      <c r="D80" t="s">
        <v>2048</v>
      </c>
      <c r="E80" t="s">
        <v>320</v>
      </c>
      <c r="F80" t="s">
        <v>149</v>
      </c>
      <c r="G80" t="s">
        <v>1889</v>
      </c>
      <c r="H80" t="s">
        <v>1890</v>
      </c>
      <c r="I80" t="str">
        <f>"319-362-5566"</f>
        <v>319-362-5566</v>
      </c>
      <c r="J80" s="11">
        <v>4</v>
      </c>
      <c r="K80" s="11">
        <v>32</v>
      </c>
      <c r="L80" s="11">
        <v>32</v>
      </c>
      <c r="M80" s="11" t="s">
        <v>3051</v>
      </c>
      <c r="N80" s="14">
        <v>42933</v>
      </c>
      <c r="P80" t="s">
        <v>2049</v>
      </c>
      <c r="Q80" t="s">
        <v>2050</v>
      </c>
      <c r="R80" t="s">
        <v>2051</v>
      </c>
      <c r="T80" t="s">
        <v>330</v>
      </c>
      <c r="U80" t="s">
        <v>18</v>
      </c>
      <c r="V80" s="6" t="s">
        <v>2912</v>
      </c>
      <c r="W80" t="s">
        <v>2052</v>
      </c>
      <c r="X80" t="str">
        <f>"319-350-5378"</f>
        <v>319-350-5378</v>
      </c>
      <c r="Z80" t="s">
        <v>116</v>
      </c>
    </row>
    <row r="81" spans="1:26" x14ac:dyDescent="0.25">
      <c r="A81" t="str">
        <f>"90-03"</f>
        <v>90-03</v>
      </c>
      <c r="C81" t="s">
        <v>2641</v>
      </c>
      <c r="D81" t="s">
        <v>1754</v>
      </c>
      <c r="E81" t="s">
        <v>1761</v>
      </c>
      <c r="F81" t="s">
        <v>149</v>
      </c>
      <c r="G81" t="s">
        <v>1755</v>
      </c>
      <c r="H81" t="s">
        <v>1756</v>
      </c>
      <c r="I81" t="str">
        <f>"319-334-7110"</f>
        <v>319-334-7110</v>
      </c>
      <c r="J81" s="11">
        <v>4</v>
      </c>
      <c r="K81" s="11">
        <v>24</v>
      </c>
      <c r="L81" s="11">
        <v>24</v>
      </c>
      <c r="M81" s="11" t="s">
        <v>3051</v>
      </c>
      <c r="N81" s="14">
        <v>43705</v>
      </c>
      <c r="P81" t="s">
        <v>1757</v>
      </c>
      <c r="Q81" t="s">
        <v>1758</v>
      </c>
      <c r="R81" t="s">
        <v>1759</v>
      </c>
      <c r="S81" t="s">
        <v>1760</v>
      </c>
      <c r="T81" t="s">
        <v>1761</v>
      </c>
      <c r="U81" t="s">
        <v>18</v>
      </c>
      <c r="V81" s="6" t="s">
        <v>3021</v>
      </c>
      <c r="X81" t="str">
        <f>"319-849-1638"</f>
        <v>319-849-1638</v>
      </c>
      <c r="Z81" t="s">
        <v>150</v>
      </c>
    </row>
    <row r="82" spans="1:26" x14ac:dyDescent="0.25">
      <c r="A82" t="str">
        <f>"15-15-19"</f>
        <v>15-15-19</v>
      </c>
      <c r="B82" t="s">
        <v>1591</v>
      </c>
      <c r="C82" t="s">
        <v>2601</v>
      </c>
      <c r="D82" t="s">
        <v>1592</v>
      </c>
      <c r="E82" t="s">
        <v>3061</v>
      </c>
      <c r="F82" t="s">
        <v>1593</v>
      </c>
      <c r="G82" t="s">
        <v>1153</v>
      </c>
      <c r="H82" t="s">
        <v>1154</v>
      </c>
      <c r="I82" t="str">
        <f>"513-964-1151"</f>
        <v>513-964-1151</v>
      </c>
      <c r="J82" s="11">
        <v>1</v>
      </c>
      <c r="K82" s="11">
        <v>44</v>
      </c>
      <c r="L82" s="11">
        <v>41</v>
      </c>
      <c r="M82" s="11" t="s">
        <v>3149</v>
      </c>
      <c r="N82" s="14">
        <v>44165</v>
      </c>
      <c r="P82" t="s">
        <v>1594</v>
      </c>
      <c r="Q82" t="s">
        <v>1156</v>
      </c>
      <c r="R82" t="s">
        <v>1157</v>
      </c>
      <c r="S82" t="s">
        <v>1158</v>
      </c>
      <c r="T82" t="s">
        <v>1159</v>
      </c>
      <c r="U82" t="s">
        <v>1160</v>
      </c>
      <c r="V82" s="6" t="s">
        <v>2973</v>
      </c>
      <c r="W82" t="s">
        <v>1161</v>
      </c>
      <c r="X82" t="str">
        <f>"513-964-1440"</f>
        <v>513-964-1440</v>
      </c>
      <c r="Y82" t="s">
        <v>21</v>
      </c>
      <c r="Z82" t="s">
        <v>103</v>
      </c>
    </row>
    <row r="83" spans="1:26" x14ac:dyDescent="0.25">
      <c r="A83" t="s">
        <v>368</v>
      </c>
      <c r="B83" t="s">
        <v>368</v>
      </c>
      <c r="C83" t="s">
        <v>371</v>
      </c>
      <c r="D83" t="s">
        <v>369</v>
      </c>
      <c r="E83" t="s">
        <v>2298</v>
      </c>
      <c r="F83" t="s">
        <v>370</v>
      </c>
      <c r="G83" t="s">
        <v>78</v>
      </c>
      <c r="H83" t="s">
        <v>79</v>
      </c>
      <c r="I83" t="str">
        <f>"515-225-4782"</f>
        <v>515-225-4782</v>
      </c>
      <c r="J83" s="11">
        <v>0</v>
      </c>
      <c r="K83" s="11">
        <v>24</v>
      </c>
      <c r="L83" s="11">
        <v>24</v>
      </c>
      <c r="M83" s="11" t="s">
        <v>3049</v>
      </c>
      <c r="N83" s="14">
        <v>43990</v>
      </c>
      <c r="P83" t="s">
        <v>371</v>
      </c>
      <c r="Q83" t="s">
        <v>81</v>
      </c>
      <c r="R83" t="s">
        <v>82</v>
      </c>
      <c r="S83" t="s">
        <v>83</v>
      </c>
      <c r="T83" t="s">
        <v>84</v>
      </c>
      <c r="U83" t="s">
        <v>18</v>
      </c>
      <c r="V83" s="6" t="s">
        <v>2890</v>
      </c>
      <c r="W83" t="s">
        <v>85</v>
      </c>
      <c r="X83" t="str">
        <f>"319-338-7600"</f>
        <v>319-338-7600</v>
      </c>
      <c r="Y83" t="s">
        <v>21</v>
      </c>
      <c r="Z83" t="s">
        <v>62</v>
      </c>
    </row>
    <row r="84" spans="1:26" x14ac:dyDescent="0.25">
      <c r="A84" t="str">
        <f>"93-24"</f>
        <v>93-24</v>
      </c>
      <c r="C84" t="s">
        <v>2686</v>
      </c>
      <c r="D84" t="s">
        <v>1953</v>
      </c>
      <c r="E84" t="s">
        <v>1954</v>
      </c>
      <c r="F84" t="s">
        <v>1954</v>
      </c>
      <c r="G84" t="s">
        <v>142</v>
      </c>
      <c r="H84" t="s">
        <v>143</v>
      </c>
      <c r="I84" t="str">
        <f>"712-580-5360"</f>
        <v>712-580-5360</v>
      </c>
      <c r="J84" s="11">
        <v>1</v>
      </c>
      <c r="K84" s="11">
        <v>24</v>
      </c>
      <c r="L84" s="11">
        <v>24</v>
      </c>
      <c r="M84" s="11" t="s">
        <v>3051</v>
      </c>
      <c r="N84" s="14">
        <v>43700</v>
      </c>
      <c r="P84" t="s">
        <v>1955</v>
      </c>
      <c r="Q84" t="s">
        <v>145</v>
      </c>
      <c r="R84" t="s">
        <v>146</v>
      </c>
      <c r="T84" t="s">
        <v>147</v>
      </c>
      <c r="U84" t="s">
        <v>18</v>
      </c>
      <c r="V84" s="6" t="s">
        <v>2895</v>
      </c>
      <c r="W84" t="s">
        <v>148</v>
      </c>
      <c r="X84" t="str">
        <f>"712-240-2188"</f>
        <v>712-240-2188</v>
      </c>
      <c r="Z84" t="s">
        <v>116</v>
      </c>
    </row>
    <row r="85" spans="1:26" x14ac:dyDescent="0.25">
      <c r="A85" t="str">
        <f>"97-65"</f>
        <v>97-65</v>
      </c>
      <c r="C85" t="s">
        <v>2736</v>
      </c>
      <c r="D85" t="s">
        <v>2146</v>
      </c>
      <c r="E85" t="s">
        <v>3062</v>
      </c>
      <c r="F85" t="s">
        <v>2147</v>
      </c>
      <c r="G85" t="s">
        <v>142</v>
      </c>
      <c r="H85" t="s">
        <v>143</v>
      </c>
      <c r="I85" t="str">
        <f>"712-580-5360"</f>
        <v>712-580-5360</v>
      </c>
      <c r="J85" s="11">
        <v>11</v>
      </c>
      <c r="K85" s="11">
        <v>46</v>
      </c>
      <c r="L85" s="11">
        <v>46</v>
      </c>
      <c r="M85" s="11" t="s">
        <v>3051</v>
      </c>
      <c r="N85" s="14">
        <v>42972</v>
      </c>
      <c r="P85" t="s">
        <v>2148</v>
      </c>
      <c r="Q85" t="s">
        <v>145</v>
      </c>
      <c r="R85" t="s">
        <v>146</v>
      </c>
      <c r="T85" t="s">
        <v>147</v>
      </c>
      <c r="U85" t="s">
        <v>18</v>
      </c>
      <c r="V85" s="6" t="s">
        <v>2895</v>
      </c>
      <c r="W85" t="s">
        <v>148</v>
      </c>
      <c r="X85" t="str">
        <f>"712-240-2188"</f>
        <v>712-240-2188</v>
      </c>
      <c r="Z85" t="s">
        <v>116</v>
      </c>
    </row>
    <row r="86" spans="1:26" x14ac:dyDescent="0.25">
      <c r="A86" t="str">
        <f>"91-46"</f>
        <v>91-46</v>
      </c>
      <c r="C86" t="s">
        <v>2662</v>
      </c>
      <c r="D86" t="s">
        <v>1864</v>
      </c>
      <c r="E86" t="s">
        <v>3063</v>
      </c>
      <c r="F86" t="s">
        <v>1865</v>
      </c>
      <c r="G86" t="s">
        <v>78</v>
      </c>
      <c r="H86" t="s">
        <v>79</v>
      </c>
      <c r="I86" t="str">
        <f>"515-225-4782"</f>
        <v>515-225-4782</v>
      </c>
      <c r="J86" s="11">
        <v>3</v>
      </c>
      <c r="K86" s="11">
        <v>24</v>
      </c>
      <c r="L86" s="11">
        <v>24</v>
      </c>
      <c r="M86" s="11" t="s">
        <v>3051</v>
      </c>
      <c r="N86" s="14">
        <v>43655</v>
      </c>
      <c r="P86" t="s">
        <v>1866</v>
      </c>
      <c r="Q86" t="s">
        <v>81</v>
      </c>
      <c r="R86" t="s">
        <v>82</v>
      </c>
      <c r="S86" t="s">
        <v>83</v>
      </c>
      <c r="T86" t="s">
        <v>84</v>
      </c>
      <c r="U86" t="s">
        <v>18</v>
      </c>
      <c r="V86" s="6" t="s">
        <v>2890</v>
      </c>
      <c r="W86" t="s">
        <v>85</v>
      </c>
      <c r="X86" t="str">
        <f>"319-338-7600"</f>
        <v>319-338-7600</v>
      </c>
      <c r="Z86" t="s">
        <v>62</v>
      </c>
    </row>
    <row r="87" spans="1:26" x14ac:dyDescent="0.25">
      <c r="A87" t="str">
        <f>"04-43"</f>
        <v>04-43</v>
      </c>
      <c r="B87" t="s">
        <v>516</v>
      </c>
      <c r="C87" t="s">
        <v>2385</v>
      </c>
      <c r="D87" t="s">
        <v>517</v>
      </c>
      <c r="E87" t="s">
        <v>2295</v>
      </c>
      <c r="F87" t="s">
        <v>277</v>
      </c>
      <c r="G87" t="s">
        <v>295</v>
      </c>
      <c r="H87" t="s">
        <v>296</v>
      </c>
      <c r="I87" t="str">
        <f>"262-790-4560"</f>
        <v>262-790-4560</v>
      </c>
      <c r="J87" s="11">
        <v>1</v>
      </c>
      <c r="K87" s="11">
        <v>24</v>
      </c>
      <c r="L87" s="11">
        <v>23</v>
      </c>
      <c r="M87" s="11" t="s">
        <v>3049</v>
      </c>
      <c r="N87" s="14">
        <v>44175</v>
      </c>
      <c r="P87" t="s">
        <v>518</v>
      </c>
      <c r="Q87" t="s">
        <v>296</v>
      </c>
      <c r="R87" t="s">
        <v>298</v>
      </c>
      <c r="T87" t="s">
        <v>299</v>
      </c>
      <c r="U87" t="s">
        <v>300</v>
      </c>
      <c r="V87" s="6" t="s">
        <v>2927</v>
      </c>
      <c r="W87" t="s">
        <v>301</v>
      </c>
      <c r="X87" t="str">
        <f>"262-790-4560"</f>
        <v>262-790-4560</v>
      </c>
      <c r="Y87" t="s">
        <v>21</v>
      </c>
      <c r="Z87" t="s">
        <v>20</v>
      </c>
    </row>
    <row r="88" spans="1:26" x14ac:dyDescent="0.25">
      <c r="A88" t="str">
        <f>"05-29"</f>
        <v>05-29</v>
      </c>
      <c r="C88" t="s">
        <v>2798</v>
      </c>
      <c r="D88" t="s">
        <v>517</v>
      </c>
      <c r="E88" t="s">
        <v>2295</v>
      </c>
      <c r="F88" t="s">
        <v>277</v>
      </c>
      <c r="G88" t="s">
        <v>295</v>
      </c>
      <c r="H88" t="s">
        <v>296</v>
      </c>
      <c r="I88" t="str">
        <f>"262-790-4560"</f>
        <v>262-790-4560</v>
      </c>
      <c r="J88" s="11">
        <v>1</v>
      </c>
      <c r="K88" s="11">
        <v>23</v>
      </c>
      <c r="L88" s="11">
        <v>23</v>
      </c>
      <c r="M88" s="11" t="s">
        <v>3050</v>
      </c>
      <c r="N88" s="14">
        <v>43445</v>
      </c>
      <c r="P88" t="s">
        <v>606</v>
      </c>
      <c r="Q88" t="s">
        <v>296</v>
      </c>
      <c r="R88" t="s">
        <v>298</v>
      </c>
      <c r="T88" t="s">
        <v>299</v>
      </c>
      <c r="U88" t="s">
        <v>300</v>
      </c>
      <c r="V88" s="6" t="s">
        <v>2927</v>
      </c>
      <c r="W88" t="s">
        <v>301</v>
      </c>
      <c r="X88" t="str">
        <f>"262-790-4560"</f>
        <v>262-790-4560</v>
      </c>
      <c r="Y88" t="s">
        <v>21</v>
      </c>
      <c r="Z88" t="s">
        <v>20</v>
      </c>
    </row>
    <row r="89" spans="1:26" x14ac:dyDescent="0.25">
      <c r="A89" t="str">
        <f>"99-71"</f>
        <v>99-71</v>
      </c>
      <c r="B89" t="s">
        <v>2276</v>
      </c>
      <c r="C89" t="s">
        <v>2775</v>
      </c>
      <c r="D89" t="s">
        <v>2277</v>
      </c>
      <c r="E89" t="s">
        <v>2295</v>
      </c>
      <c r="F89" t="s">
        <v>277</v>
      </c>
      <c r="G89" t="s">
        <v>295</v>
      </c>
      <c r="H89" t="s">
        <v>2278</v>
      </c>
      <c r="I89" t="str">
        <f>"507-581-1338"</f>
        <v>507-581-1338</v>
      </c>
      <c r="J89" s="11">
        <v>2</v>
      </c>
      <c r="K89" s="11">
        <v>32</v>
      </c>
      <c r="L89" s="11">
        <v>31</v>
      </c>
      <c r="M89" s="11" t="s">
        <v>3149</v>
      </c>
      <c r="N89" s="14">
        <v>43977</v>
      </c>
      <c r="P89" t="s">
        <v>2279</v>
      </c>
      <c r="Q89" t="s">
        <v>2184</v>
      </c>
      <c r="R89" t="s">
        <v>298</v>
      </c>
      <c r="T89" t="s">
        <v>299</v>
      </c>
      <c r="U89" t="s">
        <v>300</v>
      </c>
      <c r="V89" s="6" t="s">
        <v>2909</v>
      </c>
      <c r="W89" t="s">
        <v>2056</v>
      </c>
      <c r="X89" t="str">
        <f>"262-790-4560"</f>
        <v>262-790-4560</v>
      </c>
      <c r="Y89" t="s">
        <v>21</v>
      </c>
      <c r="Z89" t="s">
        <v>20</v>
      </c>
    </row>
    <row r="90" spans="1:26" x14ac:dyDescent="0.25">
      <c r="A90" t="str">
        <f>"01-08"</f>
        <v>01-08</v>
      </c>
      <c r="B90" t="s">
        <v>179</v>
      </c>
      <c r="C90" t="s">
        <v>2334</v>
      </c>
      <c r="D90" t="s">
        <v>180</v>
      </c>
      <c r="E90" t="s">
        <v>181</v>
      </c>
      <c r="F90" t="s">
        <v>181</v>
      </c>
      <c r="G90" t="s">
        <v>55</v>
      </c>
      <c r="H90" t="s">
        <v>56</v>
      </c>
      <c r="I90" t="str">
        <f>"712-262-5965"</f>
        <v>712-262-5965</v>
      </c>
      <c r="J90" s="11">
        <v>1</v>
      </c>
      <c r="K90" s="11">
        <v>19</v>
      </c>
      <c r="L90" s="11">
        <v>17</v>
      </c>
      <c r="M90" s="11" t="s">
        <v>3049</v>
      </c>
      <c r="N90" s="14">
        <v>43523</v>
      </c>
      <c r="P90" t="s">
        <v>182</v>
      </c>
      <c r="Q90" t="s">
        <v>58</v>
      </c>
      <c r="R90" t="s">
        <v>59</v>
      </c>
      <c r="T90" t="s">
        <v>60</v>
      </c>
      <c r="U90" t="s">
        <v>18</v>
      </c>
      <c r="V90" s="6" t="s">
        <v>2888</v>
      </c>
      <c r="W90" t="s">
        <v>183</v>
      </c>
      <c r="X90" t="str">
        <f>"515-262-5965"</f>
        <v>515-262-5965</v>
      </c>
      <c r="Y90" t="s">
        <v>33</v>
      </c>
      <c r="Z90" t="s">
        <v>62</v>
      </c>
    </row>
    <row r="91" spans="1:26" x14ac:dyDescent="0.25">
      <c r="A91" t="str">
        <f>"04-39"</f>
        <v>04-39</v>
      </c>
      <c r="B91" t="s">
        <v>506</v>
      </c>
      <c r="C91" t="s">
        <v>2382</v>
      </c>
      <c r="D91" t="s">
        <v>507</v>
      </c>
      <c r="E91" t="s">
        <v>181</v>
      </c>
      <c r="F91" t="s">
        <v>181</v>
      </c>
      <c r="G91" t="s">
        <v>55</v>
      </c>
      <c r="H91" t="s">
        <v>56</v>
      </c>
      <c r="I91" t="str">
        <f>"712-262-5965"</f>
        <v>712-262-5965</v>
      </c>
      <c r="J91" s="11">
        <v>1</v>
      </c>
      <c r="K91" s="11">
        <v>19</v>
      </c>
      <c r="L91" s="11">
        <v>19</v>
      </c>
      <c r="M91" s="11" t="s">
        <v>3051</v>
      </c>
      <c r="N91" s="14">
        <v>43133</v>
      </c>
      <c r="P91" t="s">
        <v>508</v>
      </c>
      <c r="Q91" t="s">
        <v>58</v>
      </c>
      <c r="R91" t="s">
        <v>59</v>
      </c>
      <c r="T91" t="s">
        <v>60</v>
      </c>
      <c r="U91" t="s">
        <v>18</v>
      </c>
      <c r="V91" s="6" t="s">
        <v>2888</v>
      </c>
      <c r="W91" t="s">
        <v>61</v>
      </c>
      <c r="X91" t="str">
        <f>"515-262-5965"</f>
        <v>515-262-5965</v>
      </c>
      <c r="Y91" t="s">
        <v>33</v>
      </c>
      <c r="Z91" t="s">
        <v>62</v>
      </c>
    </row>
    <row r="92" spans="1:26" x14ac:dyDescent="0.25">
      <c r="A92" t="str">
        <f>"05-33"</f>
        <v>05-33</v>
      </c>
      <c r="B92" t="s">
        <v>613</v>
      </c>
      <c r="C92" t="s">
        <v>2402</v>
      </c>
      <c r="D92" t="s">
        <v>614</v>
      </c>
      <c r="E92" t="s">
        <v>181</v>
      </c>
      <c r="F92" t="s">
        <v>181</v>
      </c>
      <c r="G92" t="s">
        <v>55</v>
      </c>
      <c r="H92" t="s">
        <v>56</v>
      </c>
      <c r="I92" t="str">
        <f>"712-262-5965"</f>
        <v>712-262-5965</v>
      </c>
      <c r="J92" s="11">
        <v>1</v>
      </c>
      <c r="K92" s="11">
        <v>16</v>
      </c>
      <c r="L92" s="11">
        <v>16</v>
      </c>
      <c r="M92" s="11" t="s">
        <v>3049</v>
      </c>
      <c r="N92" s="14">
        <v>43523</v>
      </c>
      <c r="P92" t="s">
        <v>615</v>
      </c>
      <c r="Q92" t="s">
        <v>58</v>
      </c>
      <c r="R92" t="s">
        <v>59</v>
      </c>
      <c r="T92" t="s">
        <v>60</v>
      </c>
      <c r="U92" t="s">
        <v>18</v>
      </c>
      <c r="V92" s="6" t="s">
        <v>2888</v>
      </c>
      <c r="W92" t="s">
        <v>61</v>
      </c>
      <c r="X92" t="str">
        <f>"515-262-5965"</f>
        <v>515-262-5965</v>
      </c>
      <c r="Y92" t="s">
        <v>151</v>
      </c>
      <c r="Z92" t="s">
        <v>62</v>
      </c>
    </row>
    <row r="93" spans="1:26" x14ac:dyDescent="0.25">
      <c r="A93" t="str">
        <f>"06-10"</f>
        <v>06-10</v>
      </c>
      <c r="B93" t="s">
        <v>687</v>
      </c>
      <c r="C93" t="s">
        <v>2418</v>
      </c>
      <c r="D93" t="s">
        <v>688</v>
      </c>
      <c r="E93" t="s">
        <v>181</v>
      </c>
      <c r="F93" t="s">
        <v>181</v>
      </c>
      <c r="G93" t="s">
        <v>315</v>
      </c>
      <c r="H93" t="s">
        <v>316</v>
      </c>
      <c r="I93" t="str">
        <f>"319-364-0259"</f>
        <v>319-364-0259</v>
      </c>
      <c r="J93" s="11">
        <v>3</v>
      </c>
      <c r="K93" s="11">
        <v>10</v>
      </c>
      <c r="L93" s="11">
        <v>10</v>
      </c>
      <c r="M93" s="11" t="s">
        <v>3049</v>
      </c>
      <c r="N93" s="14">
        <v>43523</v>
      </c>
      <c r="P93" t="s">
        <v>683</v>
      </c>
      <c r="Q93" t="s">
        <v>689</v>
      </c>
      <c r="R93" t="s">
        <v>685</v>
      </c>
      <c r="T93" t="s">
        <v>320</v>
      </c>
      <c r="U93" t="s">
        <v>18</v>
      </c>
      <c r="V93" s="6" t="s">
        <v>2941</v>
      </c>
      <c r="W93" t="s">
        <v>686</v>
      </c>
      <c r="X93" t="str">
        <f>"319-390-4611"</f>
        <v>319-390-4611</v>
      </c>
      <c r="Y93" t="s">
        <v>21</v>
      </c>
      <c r="Z93" t="s">
        <v>20</v>
      </c>
    </row>
    <row r="94" spans="1:26" x14ac:dyDescent="0.25">
      <c r="A94" t="str">
        <f>"06-40"</f>
        <v>06-40</v>
      </c>
      <c r="B94" t="s">
        <v>745</v>
      </c>
      <c r="C94" t="s">
        <v>2427</v>
      </c>
      <c r="D94" t="s">
        <v>746</v>
      </c>
      <c r="E94" t="s">
        <v>181</v>
      </c>
      <c r="F94" t="s">
        <v>181</v>
      </c>
      <c r="G94" t="s">
        <v>747</v>
      </c>
      <c r="H94" t="s">
        <v>748</v>
      </c>
      <c r="I94" t="str">
        <f>"563-243-4065"</f>
        <v>563-243-4065</v>
      </c>
      <c r="J94" s="11">
        <v>6</v>
      </c>
      <c r="K94" s="11">
        <v>26</v>
      </c>
      <c r="L94" s="11">
        <v>26</v>
      </c>
      <c r="M94" s="11" t="s">
        <v>3149</v>
      </c>
      <c r="N94" s="14">
        <v>44151</v>
      </c>
      <c r="P94" t="s">
        <v>749</v>
      </c>
      <c r="Q94" t="s">
        <v>750</v>
      </c>
      <c r="R94" t="s">
        <v>751</v>
      </c>
      <c r="T94" t="s">
        <v>181</v>
      </c>
      <c r="U94" t="s">
        <v>18</v>
      </c>
      <c r="V94" s="6" t="s">
        <v>2945</v>
      </c>
      <c r="W94" t="s">
        <v>752</v>
      </c>
      <c r="X94" t="str">
        <f>"563-243-4065"</f>
        <v>563-243-4065</v>
      </c>
      <c r="Y94" t="s">
        <v>21</v>
      </c>
      <c r="Z94" t="s">
        <v>20</v>
      </c>
    </row>
    <row r="95" spans="1:26" x14ac:dyDescent="0.25">
      <c r="A95" t="str">
        <f>"12-12-8"</f>
        <v>12-12-8</v>
      </c>
      <c r="B95" t="s">
        <v>1405</v>
      </c>
      <c r="C95" t="s">
        <v>2560</v>
      </c>
      <c r="D95" t="s">
        <v>1406</v>
      </c>
      <c r="E95" t="s">
        <v>181</v>
      </c>
      <c r="F95" t="s">
        <v>181</v>
      </c>
      <c r="G95" t="s">
        <v>55</v>
      </c>
      <c r="H95" t="s">
        <v>56</v>
      </c>
      <c r="I95" t="str">
        <f>"712-262-5965"</f>
        <v>712-262-5965</v>
      </c>
      <c r="J95" s="11">
        <v>1</v>
      </c>
      <c r="K95" s="11">
        <v>30</v>
      </c>
      <c r="L95" s="11">
        <v>30</v>
      </c>
      <c r="M95" s="11" t="s">
        <v>3149</v>
      </c>
      <c r="N95" s="14">
        <v>44151</v>
      </c>
      <c r="P95" t="s">
        <v>1407</v>
      </c>
      <c r="Q95" t="s">
        <v>58</v>
      </c>
      <c r="R95" t="s">
        <v>59</v>
      </c>
      <c r="T95" t="s">
        <v>60</v>
      </c>
      <c r="U95" t="s">
        <v>18</v>
      </c>
      <c r="V95" s="6" t="s">
        <v>2888</v>
      </c>
      <c r="W95" t="s">
        <v>61</v>
      </c>
      <c r="X95" t="str">
        <f>"515-262-5965"</f>
        <v>515-262-5965</v>
      </c>
      <c r="Y95" t="s">
        <v>21</v>
      </c>
      <c r="Z95" t="s">
        <v>62</v>
      </c>
    </row>
    <row r="96" spans="1:26" x14ac:dyDescent="0.25">
      <c r="A96" t="str">
        <f>"16-30"</f>
        <v>16-30</v>
      </c>
      <c r="C96" t="s">
        <v>2617</v>
      </c>
      <c r="D96" t="s">
        <v>1666</v>
      </c>
      <c r="E96" t="s">
        <v>181</v>
      </c>
      <c r="F96" t="s">
        <v>181</v>
      </c>
      <c r="G96" t="s">
        <v>1153</v>
      </c>
      <c r="H96" t="s">
        <v>1154</v>
      </c>
      <c r="I96" t="str">
        <f>"513-964-1151"</f>
        <v>513-964-1151</v>
      </c>
      <c r="J96" s="11">
        <v>1</v>
      </c>
      <c r="K96" s="11">
        <v>48</v>
      </c>
      <c r="L96" s="11">
        <v>43</v>
      </c>
      <c r="M96" s="11" t="s">
        <v>3050</v>
      </c>
      <c r="N96" s="14">
        <v>43404</v>
      </c>
      <c r="P96" t="s">
        <v>1667</v>
      </c>
      <c r="Q96" t="s">
        <v>1156</v>
      </c>
      <c r="R96" t="s">
        <v>1157</v>
      </c>
      <c r="S96" t="s">
        <v>1158</v>
      </c>
      <c r="T96" t="s">
        <v>1159</v>
      </c>
      <c r="U96" t="s">
        <v>1160</v>
      </c>
      <c r="V96" s="6" t="s">
        <v>2973</v>
      </c>
      <c r="W96" t="s">
        <v>1161</v>
      </c>
      <c r="X96" t="str">
        <f>"513-964-1140"</f>
        <v>513-964-1140</v>
      </c>
      <c r="Y96" t="s">
        <v>21</v>
      </c>
      <c r="Z96" t="s">
        <v>103</v>
      </c>
    </row>
    <row r="97" spans="1:26" x14ac:dyDescent="0.25">
      <c r="A97" t="str">
        <f>"18-33"</f>
        <v>18-33</v>
      </c>
      <c r="C97" t="s">
        <v>2640</v>
      </c>
      <c r="D97" t="s">
        <v>1751</v>
      </c>
      <c r="E97" t="s">
        <v>181</v>
      </c>
      <c r="F97" t="s">
        <v>181</v>
      </c>
      <c r="G97" t="s">
        <v>12</v>
      </c>
      <c r="H97" t="s">
        <v>13</v>
      </c>
      <c r="I97" t="str">
        <f>"608-348-7755"</f>
        <v>608-348-7755</v>
      </c>
      <c r="J97" s="11">
        <v>1</v>
      </c>
      <c r="K97" s="11">
        <v>46</v>
      </c>
      <c r="L97" s="11">
        <v>46</v>
      </c>
      <c r="M97" s="11" t="s">
        <v>3050</v>
      </c>
      <c r="N97" s="14">
        <v>44179</v>
      </c>
      <c r="P97" t="s">
        <v>1752</v>
      </c>
      <c r="Q97" t="s">
        <v>15</v>
      </c>
      <c r="R97" t="s">
        <v>1753</v>
      </c>
      <c r="T97" t="s">
        <v>17</v>
      </c>
      <c r="U97" t="s">
        <v>18</v>
      </c>
      <c r="V97" s="6" t="s">
        <v>2931</v>
      </c>
      <c r="W97" t="s">
        <v>19</v>
      </c>
      <c r="X97" t="str">
        <f>"608-348-7755"</f>
        <v>608-348-7755</v>
      </c>
      <c r="Y97" t="s">
        <v>151</v>
      </c>
      <c r="Z97" t="s">
        <v>20</v>
      </c>
    </row>
    <row r="98" spans="1:26" x14ac:dyDescent="0.25">
      <c r="A98" t="str">
        <f>"99-70"</f>
        <v>99-70</v>
      </c>
      <c r="B98" t="s">
        <v>2273</v>
      </c>
      <c r="C98" t="s">
        <v>2774</v>
      </c>
      <c r="D98" t="s">
        <v>2274</v>
      </c>
      <c r="E98" t="s">
        <v>181</v>
      </c>
      <c r="F98" t="s">
        <v>181</v>
      </c>
      <c r="G98" t="s">
        <v>295</v>
      </c>
      <c r="H98" t="s">
        <v>296</v>
      </c>
      <c r="I98" t="str">
        <f>"262-790-4560"</f>
        <v>262-790-4560</v>
      </c>
      <c r="J98" s="11">
        <v>1</v>
      </c>
      <c r="K98" s="11">
        <v>32</v>
      </c>
      <c r="L98" s="11">
        <v>31</v>
      </c>
      <c r="M98" s="11" t="s">
        <v>3149</v>
      </c>
      <c r="N98" s="14">
        <v>43957</v>
      </c>
      <c r="P98" t="s">
        <v>2275</v>
      </c>
      <c r="Q98" t="s">
        <v>296</v>
      </c>
      <c r="R98" t="s">
        <v>298</v>
      </c>
      <c r="T98" t="s">
        <v>299</v>
      </c>
      <c r="U98" t="s">
        <v>300</v>
      </c>
      <c r="V98" s="6" t="s">
        <v>2909</v>
      </c>
      <c r="W98" t="s">
        <v>301</v>
      </c>
      <c r="X98" t="str">
        <f>"262-790-4560"</f>
        <v>262-790-4560</v>
      </c>
      <c r="Y98" t="s">
        <v>21</v>
      </c>
      <c r="Z98" t="s">
        <v>20</v>
      </c>
    </row>
    <row r="99" spans="1:26" x14ac:dyDescent="0.25">
      <c r="A99" t="str">
        <f>"11-11-60"</f>
        <v>11-11-60</v>
      </c>
      <c r="B99" t="s">
        <v>1329</v>
      </c>
      <c r="C99" t="s">
        <v>2542</v>
      </c>
      <c r="D99" t="s">
        <v>1330</v>
      </c>
      <c r="E99" t="s">
        <v>3064</v>
      </c>
      <c r="F99" t="s">
        <v>1331</v>
      </c>
      <c r="G99" t="s">
        <v>78</v>
      </c>
      <c r="H99" t="s">
        <v>79</v>
      </c>
      <c r="I99" t="str">
        <f>"515-225-4782"</f>
        <v>515-225-4782</v>
      </c>
      <c r="J99" s="11">
        <v>3</v>
      </c>
      <c r="K99" s="11">
        <v>24</v>
      </c>
      <c r="L99" s="11">
        <v>24</v>
      </c>
      <c r="M99" s="11" t="s">
        <v>3049</v>
      </c>
      <c r="N99" s="14">
        <v>43677</v>
      </c>
      <c r="P99" t="s">
        <v>1332</v>
      </c>
      <c r="Q99" t="s">
        <v>1333</v>
      </c>
      <c r="R99" t="s">
        <v>59</v>
      </c>
      <c r="T99" t="s">
        <v>60</v>
      </c>
      <c r="U99" t="s">
        <v>18</v>
      </c>
      <c r="V99" s="6" t="s">
        <v>2888</v>
      </c>
      <c r="W99" t="s">
        <v>1334</v>
      </c>
      <c r="X99" t="str">
        <f>"515-262-5965"</f>
        <v>515-262-5965</v>
      </c>
      <c r="Y99" t="s">
        <v>151</v>
      </c>
      <c r="Z99" t="s">
        <v>62</v>
      </c>
    </row>
    <row r="100" spans="1:26" x14ac:dyDescent="0.25">
      <c r="A100" t="str">
        <f>"13-13-40"</f>
        <v>13-13-40</v>
      </c>
      <c r="B100" t="s">
        <v>1456</v>
      </c>
      <c r="C100" t="s">
        <v>2573</v>
      </c>
      <c r="D100" t="s">
        <v>1457</v>
      </c>
      <c r="E100" t="s">
        <v>3064</v>
      </c>
      <c r="F100" t="s">
        <v>1331</v>
      </c>
      <c r="G100" t="s">
        <v>78</v>
      </c>
      <c r="H100" t="s">
        <v>79</v>
      </c>
      <c r="I100" t="str">
        <f>"515-225-4782"</f>
        <v>515-225-4782</v>
      </c>
      <c r="J100" s="11">
        <v>6</v>
      </c>
      <c r="K100" s="11">
        <v>24</v>
      </c>
      <c r="L100" s="11">
        <v>24</v>
      </c>
      <c r="M100" s="11" t="s">
        <v>3049</v>
      </c>
      <c r="N100" s="14">
        <v>43803</v>
      </c>
      <c r="P100" t="s">
        <v>1458</v>
      </c>
      <c r="Q100" t="s">
        <v>1333</v>
      </c>
      <c r="R100" t="s">
        <v>1459</v>
      </c>
      <c r="T100" t="s">
        <v>147</v>
      </c>
      <c r="U100" t="s">
        <v>18</v>
      </c>
      <c r="V100" s="6" t="s">
        <v>2990</v>
      </c>
      <c r="W100" t="s">
        <v>1334</v>
      </c>
      <c r="X100" t="str">
        <f>"712-262-5640"</f>
        <v>712-262-5640</v>
      </c>
      <c r="Y100" t="s">
        <v>151</v>
      </c>
      <c r="Z100" t="s">
        <v>62</v>
      </c>
    </row>
    <row r="101" spans="1:26" x14ac:dyDescent="0.25">
      <c r="A101" t="str">
        <f>"16-17"</f>
        <v>16-17</v>
      </c>
      <c r="C101" t="s">
        <v>2614</v>
      </c>
      <c r="D101" t="s">
        <v>1657</v>
      </c>
      <c r="E101" t="s">
        <v>3065</v>
      </c>
      <c r="F101" t="s">
        <v>77</v>
      </c>
      <c r="G101" t="s">
        <v>1502</v>
      </c>
      <c r="H101" t="s">
        <v>1503</v>
      </c>
      <c r="I101" t="str">
        <f>"320-202-3100"</f>
        <v>320-202-3100</v>
      </c>
      <c r="J101" s="11">
        <v>1</v>
      </c>
      <c r="K101" s="11">
        <v>56</v>
      </c>
      <c r="L101" s="11">
        <v>50</v>
      </c>
      <c r="M101" s="11" t="s">
        <v>3050</v>
      </c>
      <c r="N101" s="14">
        <v>43495</v>
      </c>
      <c r="P101" t="s">
        <v>1658</v>
      </c>
      <c r="Q101" t="s">
        <v>1505</v>
      </c>
      <c r="R101" t="s">
        <v>1506</v>
      </c>
      <c r="S101" t="s">
        <v>1507</v>
      </c>
      <c r="T101" t="s">
        <v>1508</v>
      </c>
      <c r="U101" t="s">
        <v>31</v>
      </c>
      <c r="V101" s="6" t="s">
        <v>2993</v>
      </c>
      <c r="W101" t="s">
        <v>1509</v>
      </c>
      <c r="X101" t="str">
        <f>"320-202-3100"</f>
        <v>320-202-3100</v>
      </c>
      <c r="Y101" t="s">
        <v>21</v>
      </c>
      <c r="Z101" t="s">
        <v>44</v>
      </c>
    </row>
    <row r="102" spans="1:26" x14ac:dyDescent="0.25">
      <c r="A102" t="str">
        <f>"00-09"</f>
        <v>00-09</v>
      </c>
      <c r="C102" t="s">
        <v>2320</v>
      </c>
      <c r="D102" t="s">
        <v>34</v>
      </c>
      <c r="E102" t="s">
        <v>772</v>
      </c>
      <c r="F102" t="s">
        <v>35</v>
      </c>
      <c r="G102" t="s">
        <v>36</v>
      </c>
      <c r="H102" t="s">
        <v>37</v>
      </c>
      <c r="I102" t="str">
        <f>"402-559-0363"</f>
        <v>402-559-0363</v>
      </c>
      <c r="J102" s="11">
        <v>1</v>
      </c>
      <c r="K102" s="11">
        <v>30</v>
      </c>
      <c r="L102" s="11">
        <v>30</v>
      </c>
      <c r="M102" s="11" t="s">
        <v>3051</v>
      </c>
      <c r="N102" s="14">
        <v>43270</v>
      </c>
      <c r="P102" t="s">
        <v>38</v>
      </c>
      <c r="Q102" t="s">
        <v>39</v>
      </c>
      <c r="R102" t="s">
        <v>40</v>
      </c>
      <c r="T102" t="s">
        <v>41</v>
      </c>
      <c r="U102" t="s">
        <v>42</v>
      </c>
      <c r="V102" s="6" t="s">
        <v>2886</v>
      </c>
      <c r="W102" t="s">
        <v>43</v>
      </c>
      <c r="X102" t="str">
        <f>"402-689-5118"</f>
        <v>402-689-5118</v>
      </c>
      <c r="Y102" t="s">
        <v>33</v>
      </c>
      <c r="Z102" t="s">
        <v>44</v>
      </c>
    </row>
    <row r="103" spans="1:26" x14ac:dyDescent="0.25">
      <c r="A103" t="str">
        <f>"00-37"</f>
        <v>00-37</v>
      </c>
      <c r="B103" t="s">
        <v>123</v>
      </c>
      <c r="C103" t="s">
        <v>2329</v>
      </c>
      <c r="D103" t="s">
        <v>124</v>
      </c>
      <c r="E103" t="s">
        <v>772</v>
      </c>
      <c r="F103" t="s">
        <v>35</v>
      </c>
      <c r="G103" t="s">
        <v>125</v>
      </c>
      <c r="H103" t="s">
        <v>126</v>
      </c>
      <c r="I103" t="str">
        <f>"402-895-0505"</f>
        <v>402-895-0505</v>
      </c>
      <c r="J103" s="11">
        <v>4</v>
      </c>
      <c r="K103" s="11">
        <v>32</v>
      </c>
      <c r="L103" s="11">
        <v>32</v>
      </c>
      <c r="M103" s="11" t="s">
        <v>3149</v>
      </c>
      <c r="N103" s="14">
        <v>44144</v>
      </c>
      <c r="P103" t="s">
        <v>127</v>
      </c>
      <c r="Q103" t="s">
        <v>128</v>
      </c>
      <c r="R103" t="s">
        <v>129</v>
      </c>
      <c r="S103" t="s">
        <v>130</v>
      </c>
      <c r="T103" t="s">
        <v>131</v>
      </c>
      <c r="U103" t="s">
        <v>132</v>
      </c>
      <c r="V103" s="6" t="s">
        <v>2894</v>
      </c>
      <c r="W103" t="s">
        <v>133</v>
      </c>
      <c r="X103" t="str">
        <f>"303-830-3389"</f>
        <v>303-830-3389</v>
      </c>
      <c r="Y103" t="s">
        <v>21</v>
      </c>
      <c r="Z103" t="s">
        <v>44</v>
      </c>
    </row>
    <row r="104" spans="1:26" x14ac:dyDescent="0.25">
      <c r="A104" t="str">
        <f>"02-14"</f>
        <v>02-14</v>
      </c>
      <c r="B104" t="s">
        <v>272</v>
      </c>
      <c r="C104" t="s">
        <v>2345</v>
      </c>
      <c r="D104" t="s">
        <v>273</v>
      </c>
      <c r="E104" t="s">
        <v>772</v>
      </c>
      <c r="F104" t="s">
        <v>35</v>
      </c>
      <c r="G104" t="s">
        <v>55</v>
      </c>
      <c r="H104" t="s">
        <v>56</v>
      </c>
      <c r="I104" t="str">
        <f>"712-262-5965"</f>
        <v>712-262-5965</v>
      </c>
      <c r="J104" s="11">
        <v>5</v>
      </c>
      <c r="K104" s="11">
        <v>30</v>
      </c>
      <c r="L104" s="11">
        <v>30</v>
      </c>
      <c r="M104" s="11" t="s">
        <v>3149</v>
      </c>
      <c r="N104" s="14">
        <v>43851</v>
      </c>
      <c r="P104" t="s">
        <v>274</v>
      </c>
      <c r="Q104" t="s">
        <v>58</v>
      </c>
      <c r="R104" t="s">
        <v>59</v>
      </c>
      <c r="T104" t="s">
        <v>60</v>
      </c>
      <c r="U104" t="s">
        <v>18</v>
      </c>
      <c r="V104" s="6" t="s">
        <v>2888</v>
      </c>
      <c r="W104" t="s">
        <v>61</v>
      </c>
      <c r="X104" t="str">
        <f>"515-262-5965"</f>
        <v>515-262-5965</v>
      </c>
      <c r="Y104" t="s">
        <v>21</v>
      </c>
      <c r="Z104" t="s">
        <v>62</v>
      </c>
    </row>
    <row r="105" spans="1:26" x14ac:dyDescent="0.25">
      <c r="A105" t="str">
        <f>"03-47"</f>
        <v>03-47</v>
      </c>
      <c r="C105" t="s">
        <v>2371</v>
      </c>
      <c r="D105" t="s">
        <v>460</v>
      </c>
      <c r="E105" t="s">
        <v>772</v>
      </c>
      <c r="F105" t="s">
        <v>35</v>
      </c>
      <c r="G105" t="s">
        <v>324</v>
      </c>
      <c r="H105" t="s">
        <v>345</v>
      </c>
      <c r="I105" t="str">
        <f>"402-763-9465"</f>
        <v>402-763-9465</v>
      </c>
      <c r="J105" s="11">
        <v>14</v>
      </c>
      <c r="K105" s="11">
        <v>112</v>
      </c>
      <c r="L105" s="11">
        <v>112</v>
      </c>
      <c r="M105" s="11" t="s">
        <v>3051</v>
      </c>
      <c r="N105" s="14">
        <v>42681</v>
      </c>
      <c r="P105" t="s">
        <v>461</v>
      </c>
      <c r="Q105" t="s">
        <v>347</v>
      </c>
      <c r="R105" t="s">
        <v>348</v>
      </c>
      <c r="T105" t="s">
        <v>216</v>
      </c>
      <c r="U105" t="s">
        <v>42</v>
      </c>
      <c r="V105" s="6" t="s">
        <v>2914</v>
      </c>
      <c r="W105" t="s">
        <v>349</v>
      </c>
      <c r="X105" t="str">
        <f>"402-952-4599"</f>
        <v>402-952-4599</v>
      </c>
      <c r="Z105" t="s">
        <v>103</v>
      </c>
    </row>
    <row r="106" spans="1:26" x14ac:dyDescent="0.25">
      <c r="A106" t="str">
        <f>"05-35"</f>
        <v>05-35</v>
      </c>
      <c r="B106" t="s">
        <v>619</v>
      </c>
      <c r="C106" t="s">
        <v>2404</v>
      </c>
      <c r="D106" t="s">
        <v>620</v>
      </c>
      <c r="E106" t="s">
        <v>772</v>
      </c>
      <c r="F106" t="s">
        <v>35</v>
      </c>
      <c r="G106" t="s">
        <v>55</v>
      </c>
      <c r="H106" t="s">
        <v>56</v>
      </c>
      <c r="I106" t="str">
        <f>"712-262-5965"</f>
        <v>712-262-5965</v>
      </c>
      <c r="J106" s="11">
        <v>3</v>
      </c>
      <c r="K106" s="11">
        <v>18</v>
      </c>
      <c r="L106" s="11">
        <v>18</v>
      </c>
      <c r="M106" s="11" t="s">
        <v>3049</v>
      </c>
      <c r="N106" s="14">
        <v>43497</v>
      </c>
      <c r="P106" t="s">
        <v>621</v>
      </c>
      <c r="Q106" t="s">
        <v>58</v>
      </c>
      <c r="R106" t="s">
        <v>59</v>
      </c>
      <c r="T106" t="s">
        <v>60</v>
      </c>
      <c r="U106" t="s">
        <v>18</v>
      </c>
      <c r="V106" s="6" t="s">
        <v>2888</v>
      </c>
      <c r="W106" t="s">
        <v>61</v>
      </c>
      <c r="X106" t="str">
        <f>"515-262-5965"</f>
        <v>515-262-5965</v>
      </c>
      <c r="Y106" t="s">
        <v>21</v>
      </c>
      <c r="Z106" t="s">
        <v>62</v>
      </c>
    </row>
    <row r="107" spans="1:26" x14ac:dyDescent="0.25">
      <c r="A107" t="str">
        <f>"06-19"</f>
        <v>06-19</v>
      </c>
      <c r="C107" t="s">
        <v>2423</v>
      </c>
      <c r="D107" t="s">
        <v>703</v>
      </c>
      <c r="E107" t="s">
        <v>772</v>
      </c>
      <c r="F107" t="s">
        <v>35</v>
      </c>
      <c r="G107" t="s">
        <v>324</v>
      </c>
      <c r="H107" t="s">
        <v>345</v>
      </c>
      <c r="I107" t="str">
        <f>"402-763-9465"</f>
        <v>402-763-9465</v>
      </c>
      <c r="J107" s="11">
        <v>1</v>
      </c>
      <c r="K107" s="11">
        <v>80</v>
      </c>
      <c r="L107" s="11">
        <v>56</v>
      </c>
      <c r="M107" s="11" t="s">
        <v>3050</v>
      </c>
      <c r="N107" s="14">
        <v>43312</v>
      </c>
      <c r="P107" t="s">
        <v>704</v>
      </c>
      <c r="Q107" t="s">
        <v>705</v>
      </c>
      <c r="R107" t="s">
        <v>336</v>
      </c>
      <c r="S107" t="s">
        <v>706</v>
      </c>
      <c r="T107" t="s">
        <v>338</v>
      </c>
      <c r="U107" t="s">
        <v>18</v>
      </c>
      <c r="V107" s="6" t="s">
        <v>2913</v>
      </c>
      <c r="W107" t="s">
        <v>707</v>
      </c>
      <c r="X107" t="str">
        <f>"712-546-6003"</f>
        <v>712-546-6003</v>
      </c>
      <c r="Y107" t="s">
        <v>21</v>
      </c>
      <c r="Z107" t="s">
        <v>103</v>
      </c>
    </row>
    <row r="108" spans="1:26" x14ac:dyDescent="0.25">
      <c r="A108" t="str">
        <f>"06-47"</f>
        <v>06-47</v>
      </c>
      <c r="B108" t="s">
        <v>766</v>
      </c>
      <c r="C108" t="s">
        <v>2430</v>
      </c>
      <c r="D108" t="s">
        <v>767</v>
      </c>
      <c r="E108" t="s">
        <v>772</v>
      </c>
      <c r="F108" t="s">
        <v>35</v>
      </c>
      <c r="G108" t="s">
        <v>768</v>
      </c>
      <c r="H108" t="s">
        <v>769</v>
      </c>
      <c r="I108" t="str">
        <f>"712-322-7570"</f>
        <v>712-322-7570</v>
      </c>
      <c r="J108" s="11">
        <v>1</v>
      </c>
      <c r="K108" s="11">
        <v>26</v>
      </c>
      <c r="L108" s="11">
        <v>26</v>
      </c>
      <c r="M108" s="11" t="s">
        <v>3149</v>
      </c>
      <c r="N108" s="14">
        <v>44028</v>
      </c>
      <c r="P108" t="s">
        <v>770</v>
      </c>
      <c r="Q108" t="s">
        <v>771</v>
      </c>
      <c r="R108" t="s">
        <v>767</v>
      </c>
      <c r="T108" t="s">
        <v>772</v>
      </c>
      <c r="U108" t="s">
        <v>18</v>
      </c>
      <c r="V108" s="6" t="s">
        <v>2947</v>
      </c>
      <c r="W108" t="s">
        <v>773</v>
      </c>
      <c r="X108" t="str">
        <f>"712-322-7570"</f>
        <v>712-322-7570</v>
      </c>
      <c r="Y108" t="s">
        <v>21</v>
      </c>
      <c r="Z108" t="s">
        <v>20</v>
      </c>
    </row>
    <row r="109" spans="1:26" x14ac:dyDescent="0.25">
      <c r="A109" t="str">
        <f>"07-31"</f>
        <v>07-31</v>
      </c>
      <c r="C109" t="s">
        <v>2442</v>
      </c>
      <c r="D109" t="s">
        <v>842</v>
      </c>
      <c r="E109" t="s">
        <v>772</v>
      </c>
      <c r="F109" t="s">
        <v>35</v>
      </c>
      <c r="G109" t="s">
        <v>843</v>
      </c>
      <c r="H109" t="s">
        <v>844</v>
      </c>
      <c r="I109" t="str">
        <f>"402-934-8910"</f>
        <v>402-934-8910</v>
      </c>
      <c r="J109" s="11">
        <v>1</v>
      </c>
      <c r="K109" s="11">
        <v>16</v>
      </c>
      <c r="L109" s="11">
        <v>16</v>
      </c>
      <c r="M109" s="11" t="s">
        <v>3050</v>
      </c>
      <c r="N109" s="14">
        <v>44144</v>
      </c>
      <c r="P109" t="s">
        <v>845</v>
      </c>
      <c r="Q109" t="s">
        <v>846</v>
      </c>
      <c r="R109" t="s">
        <v>847</v>
      </c>
      <c r="S109" t="s">
        <v>848</v>
      </c>
      <c r="T109" t="s">
        <v>216</v>
      </c>
      <c r="U109" t="s">
        <v>42</v>
      </c>
      <c r="V109" s="6" t="s">
        <v>2953</v>
      </c>
      <c r="W109" t="s">
        <v>849</v>
      </c>
      <c r="X109" t="str">
        <f>"402-934-8874"</f>
        <v>402-934-8874</v>
      </c>
      <c r="Y109" t="s">
        <v>21</v>
      </c>
      <c r="Z109" t="s">
        <v>44</v>
      </c>
    </row>
    <row r="110" spans="1:26" x14ac:dyDescent="0.25">
      <c r="A110" t="str">
        <f>"08-09"</f>
        <v>08-09</v>
      </c>
      <c r="C110" t="s">
        <v>2459</v>
      </c>
      <c r="D110" t="s">
        <v>943</v>
      </c>
      <c r="E110" t="s">
        <v>772</v>
      </c>
      <c r="F110" t="s">
        <v>35</v>
      </c>
      <c r="G110" t="s">
        <v>24</v>
      </c>
      <c r="H110" t="s">
        <v>25</v>
      </c>
      <c r="I110" t="str">
        <f>"319-415-7610"</f>
        <v>319-415-7610</v>
      </c>
      <c r="J110" s="11">
        <v>1</v>
      </c>
      <c r="K110" s="11">
        <v>36</v>
      </c>
      <c r="L110" s="11">
        <v>36</v>
      </c>
      <c r="M110" s="11" t="s">
        <v>3050</v>
      </c>
      <c r="N110" s="14">
        <v>43619</v>
      </c>
      <c r="P110" t="s">
        <v>944</v>
      </c>
      <c r="Q110" t="s">
        <v>945</v>
      </c>
      <c r="R110" t="s">
        <v>946</v>
      </c>
      <c r="S110" t="s">
        <v>947</v>
      </c>
      <c r="T110" t="s">
        <v>540</v>
      </c>
      <c r="U110" t="s">
        <v>31</v>
      </c>
      <c r="V110" s="6" t="s">
        <v>2949</v>
      </c>
      <c r="W110" t="s">
        <v>948</v>
      </c>
      <c r="X110" t="str">
        <f>"612-812-1999"</f>
        <v>612-812-1999</v>
      </c>
      <c r="Y110" t="s">
        <v>33</v>
      </c>
      <c r="Z110" t="s">
        <v>20</v>
      </c>
    </row>
    <row r="111" spans="1:26" x14ac:dyDescent="0.25">
      <c r="A111" t="str">
        <f>"09-0946"</f>
        <v>09-0946</v>
      </c>
      <c r="C111" t="s">
        <v>2490</v>
      </c>
      <c r="D111" t="s">
        <v>1073</v>
      </c>
      <c r="E111" t="s">
        <v>772</v>
      </c>
      <c r="F111" t="s">
        <v>35</v>
      </c>
      <c r="G111" t="s">
        <v>439</v>
      </c>
      <c r="H111" t="s">
        <v>440</v>
      </c>
      <c r="I111" t="str">
        <f>"952-447-2345"</f>
        <v>952-447-2345</v>
      </c>
      <c r="J111" s="11">
        <v>1</v>
      </c>
      <c r="K111" s="11">
        <v>76</v>
      </c>
      <c r="L111" s="11">
        <v>76</v>
      </c>
      <c r="M111" s="11" t="s">
        <v>3050</v>
      </c>
      <c r="N111" s="14">
        <v>44053</v>
      </c>
      <c r="P111" t="s">
        <v>1074</v>
      </c>
      <c r="Q111" t="s">
        <v>440</v>
      </c>
      <c r="R111" t="s">
        <v>442</v>
      </c>
      <c r="S111" t="s">
        <v>443</v>
      </c>
      <c r="T111" t="s">
        <v>444</v>
      </c>
      <c r="U111" t="s">
        <v>31</v>
      </c>
      <c r="V111" s="6" t="s">
        <v>2923</v>
      </c>
      <c r="W111" t="s">
        <v>445</v>
      </c>
      <c r="X111" t="str">
        <f>"952-447-2345"</f>
        <v>952-447-2345</v>
      </c>
      <c r="Y111" t="s">
        <v>21</v>
      </c>
      <c r="Z111" t="s">
        <v>44</v>
      </c>
    </row>
    <row r="112" spans="1:26" x14ac:dyDescent="0.25">
      <c r="A112" t="str">
        <f>"11-11-58"</f>
        <v>11-11-58</v>
      </c>
      <c r="B112" t="s">
        <v>1321</v>
      </c>
      <c r="C112" t="s">
        <v>2541</v>
      </c>
      <c r="D112" t="s">
        <v>1322</v>
      </c>
      <c r="E112" t="s">
        <v>772</v>
      </c>
      <c r="F112" t="s">
        <v>35</v>
      </c>
      <c r="G112" t="s">
        <v>1323</v>
      </c>
      <c r="H112" t="s">
        <v>1324</v>
      </c>
      <c r="I112" t="str">
        <f>"402-397-4900"</f>
        <v>402-397-4900</v>
      </c>
      <c r="J112" s="11">
        <v>1</v>
      </c>
      <c r="K112" s="11">
        <v>40</v>
      </c>
      <c r="L112" s="11">
        <v>40</v>
      </c>
      <c r="M112" s="11" t="s">
        <v>3149</v>
      </c>
      <c r="N112" s="14">
        <v>44028</v>
      </c>
      <c r="P112" t="s">
        <v>1325</v>
      </c>
      <c r="Q112" t="s">
        <v>1326</v>
      </c>
      <c r="R112" t="s">
        <v>1327</v>
      </c>
      <c r="T112" t="s">
        <v>772</v>
      </c>
      <c r="U112" t="s">
        <v>18</v>
      </c>
      <c r="V112" s="6" t="s">
        <v>2984</v>
      </c>
      <c r="W112" t="s">
        <v>1328</v>
      </c>
      <c r="X112" t="str">
        <f>"402-451-2939"</f>
        <v>402-451-2939</v>
      </c>
      <c r="Y112" t="s">
        <v>21</v>
      </c>
      <c r="Z112" t="s">
        <v>44</v>
      </c>
    </row>
    <row r="113" spans="1:26" x14ac:dyDescent="0.25">
      <c r="A113" t="str">
        <f>"16-02"</f>
        <v>16-02</v>
      </c>
      <c r="C113" t="s">
        <v>2610</v>
      </c>
      <c r="D113" t="s">
        <v>1634</v>
      </c>
      <c r="E113" t="s">
        <v>772</v>
      </c>
      <c r="F113" t="s">
        <v>35</v>
      </c>
      <c r="G113" t="s">
        <v>1635</v>
      </c>
      <c r="H113" t="s">
        <v>1636</v>
      </c>
      <c r="I113" t="str">
        <f>"712-328-2222"</f>
        <v>712-328-2222</v>
      </c>
      <c r="J113" s="11">
        <v>1</v>
      </c>
      <c r="K113" s="11">
        <v>70</v>
      </c>
      <c r="L113" s="11">
        <v>70</v>
      </c>
      <c r="M113" s="11" t="s">
        <v>3050</v>
      </c>
      <c r="N113" s="14">
        <v>43619</v>
      </c>
      <c r="P113" t="s">
        <v>1637</v>
      </c>
      <c r="Q113" t="s">
        <v>1638</v>
      </c>
      <c r="R113" t="s">
        <v>1639</v>
      </c>
      <c r="T113" t="s">
        <v>772</v>
      </c>
      <c r="U113" t="s">
        <v>18</v>
      </c>
      <c r="V113" s="6" t="s">
        <v>3005</v>
      </c>
      <c r="W113" t="s">
        <v>1640</v>
      </c>
      <c r="X113" t="str">
        <f>"712-328-2222"</f>
        <v>712-328-2222</v>
      </c>
      <c r="Y113" t="s">
        <v>151</v>
      </c>
      <c r="Z113" t="s">
        <v>20</v>
      </c>
    </row>
    <row r="114" spans="1:26" x14ac:dyDescent="0.25">
      <c r="A114" t="str">
        <f>"17-30"</f>
        <v>17-30</v>
      </c>
      <c r="C114" t="s">
        <v>2861</v>
      </c>
      <c r="D114" t="s">
        <v>1721</v>
      </c>
      <c r="E114" t="s">
        <v>772</v>
      </c>
      <c r="F114" t="s">
        <v>35</v>
      </c>
      <c r="G114" t="s">
        <v>870</v>
      </c>
      <c r="H114" t="s">
        <v>871</v>
      </c>
      <c r="I114" t="str">
        <f>"763-354-5518"</f>
        <v>763-354-5518</v>
      </c>
      <c r="J114" s="11">
        <v>4</v>
      </c>
      <c r="K114" s="11">
        <v>120</v>
      </c>
      <c r="L114" s="11">
        <v>120</v>
      </c>
      <c r="M114" s="11" t="s">
        <v>3050</v>
      </c>
      <c r="N114" s="14">
        <v>43858</v>
      </c>
      <c r="P114" t="s">
        <v>1722</v>
      </c>
      <c r="Q114" t="s">
        <v>1723</v>
      </c>
      <c r="R114" t="s">
        <v>874</v>
      </c>
      <c r="S114" t="s">
        <v>875</v>
      </c>
      <c r="T114" t="s">
        <v>379</v>
      </c>
      <c r="U114" t="s">
        <v>31</v>
      </c>
      <c r="V114" s="6" t="s">
        <v>3016</v>
      </c>
      <c r="W114" t="s">
        <v>1113</v>
      </c>
      <c r="X114" t="str">
        <f>"763-354-5634"</f>
        <v>763-354-5634</v>
      </c>
      <c r="Y114" t="s">
        <v>151</v>
      </c>
      <c r="Z114" t="s">
        <v>44</v>
      </c>
    </row>
    <row r="115" spans="1:26" x14ac:dyDescent="0.25">
      <c r="A115" t="str">
        <f>"94-42"</f>
        <v>94-42</v>
      </c>
      <c r="C115" t="s">
        <v>2703</v>
      </c>
      <c r="D115" t="s">
        <v>2025</v>
      </c>
      <c r="E115" t="s">
        <v>772</v>
      </c>
      <c r="F115" t="s">
        <v>35</v>
      </c>
      <c r="G115" t="s">
        <v>324</v>
      </c>
      <c r="H115" t="s">
        <v>345</v>
      </c>
      <c r="I115" t="str">
        <f>"402-763-9465"</f>
        <v>402-763-9465</v>
      </c>
      <c r="J115" s="11">
        <v>18</v>
      </c>
      <c r="K115" s="11">
        <v>124</v>
      </c>
      <c r="L115" s="11">
        <v>124</v>
      </c>
      <c r="M115" s="11" t="s">
        <v>3051</v>
      </c>
      <c r="N115" s="14">
        <v>42641</v>
      </c>
      <c r="P115" t="s">
        <v>2026</v>
      </c>
      <c r="Q115" t="s">
        <v>347</v>
      </c>
      <c r="R115" t="s">
        <v>348</v>
      </c>
      <c r="T115" t="s">
        <v>216</v>
      </c>
      <c r="U115" t="s">
        <v>42</v>
      </c>
      <c r="V115" s="6" t="s">
        <v>2914</v>
      </c>
      <c r="W115" t="s">
        <v>349</v>
      </c>
      <c r="X115" t="str">
        <f>"402-952-4599"</f>
        <v>402-952-4599</v>
      </c>
      <c r="Z115" t="s">
        <v>103</v>
      </c>
    </row>
    <row r="116" spans="1:26" x14ac:dyDescent="0.25">
      <c r="A116" t="str">
        <f>"95-05"</f>
        <v>95-05</v>
      </c>
      <c r="C116" t="s">
        <v>2825</v>
      </c>
      <c r="D116" t="s">
        <v>2040</v>
      </c>
      <c r="E116" t="s">
        <v>772</v>
      </c>
      <c r="F116" t="s">
        <v>35</v>
      </c>
      <c r="G116" t="s">
        <v>324</v>
      </c>
      <c r="H116" t="s">
        <v>345</v>
      </c>
      <c r="I116" t="str">
        <f>"402-763-9465"</f>
        <v>402-763-9465</v>
      </c>
      <c r="J116" s="11">
        <v>11</v>
      </c>
      <c r="K116" s="11">
        <v>78</v>
      </c>
      <c r="L116" s="11">
        <v>78</v>
      </c>
      <c r="M116" s="11" t="s">
        <v>3051</v>
      </c>
      <c r="N116" s="14">
        <v>42641</v>
      </c>
      <c r="P116" t="s">
        <v>2026</v>
      </c>
      <c r="Q116" t="s">
        <v>347</v>
      </c>
      <c r="R116" t="s">
        <v>348</v>
      </c>
      <c r="T116" t="s">
        <v>216</v>
      </c>
      <c r="U116" t="s">
        <v>42</v>
      </c>
      <c r="V116" s="6" t="s">
        <v>2914</v>
      </c>
      <c r="W116" t="s">
        <v>349</v>
      </c>
      <c r="X116" t="str">
        <f>"402-952-4599"</f>
        <v>402-952-4599</v>
      </c>
      <c r="Z116" t="s">
        <v>103</v>
      </c>
    </row>
    <row r="117" spans="1:26" x14ac:dyDescent="0.25">
      <c r="A117" t="str">
        <f>"97-40"</f>
        <v>97-40</v>
      </c>
      <c r="C117" t="s">
        <v>2730</v>
      </c>
      <c r="D117" t="s">
        <v>2125</v>
      </c>
      <c r="E117" t="s">
        <v>772</v>
      </c>
      <c r="F117" t="s">
        <v>35</v>
      </c>
      <c r="G117" t="s">
        <v>324</v>
      </c>
      <c r="H117" t="s">
        <v>345</v>
      </c>
      <c r="I117" t="str">
        <f>"402-763-9465"</f>
        <v>402-763-9465</v>
      </c>
      <c r="J117" s="11">
        <v>2</v>
      </c>
      <c r="K117" s="11">
        <v>48</v>
      </c>
      <c r="L117" s="11">
        <v>48</v>
      </c>
      <c r="M117" s="11" t="s">
        <v>3051</v>
      </c>
      <c r="N117" s="14">
        <v>42549</v>
      </c>
      <c r="P117" t="s">
        <v>2126</v>
      </c>
      <c r="Q117" t="s">
        <v>347</v>
      </c>
      <c r="R117" t="s">
        <v>348</v>
      </c>
      <c r="T117" t="s">
        <v>216</v>
      </c>
      <c r="U117" t="s">
        <v>42</v>
      </c>
      <c r="V117" s="6" t="s">
        <v>2914</v>
      </c>
      <c r="W117" t="s">
        <v>349</v>
      </c>
      <c r="X117" t="str">
        <f>"402-952-4599"</f>
        <v>402-952-4599</v>
      </c>
      <c r="Z117" t="s">
        <v>103</v>
      </c>
    </row>
    <row r="118" spans="1:26" x14ac:dyDescent="0.25">
      <c r="A118" t="str">
        <f>"97-68"</f>
        <v>97-68</v>
      </c>
      <c r="C118" t="s">
        <v>2737</v>
      </c>
      <c r="D118" t="s">
        <v>2149</v>
      </c>
      <c r="E118" t="s">
        <v>772</v>
      </c>
      <c r="F118" t="s">
        <v>35</v>
      </c>
      <c r="G118" t="s">
        <v>324</v>
      </c>
      <c r="H118" t="s">
        <v>345</v>
      </c>
      <c r="I118" t="str">
        <f>"402-763-9465"</f>
        <v>402-763-9465</v>
      </c>
      <c r="J118" s="11">
        <v>19</v>
      </c>
      <c r="K118" s="11">
        <v>147</v>
      </c>
      <c r="L118" s="11">
        <v>147</v>
      </c>
      <c r="M118" s="11" t="s">
        <v>3051</v>
      </c>
      <c r="N118" s="14">
        <v>42999</v>
      </c>
      <c r="P118" t="s">
        <v>2150</v>
      </c>
      <c r="Q118" t="s">
        <v>347</v>
      </c>
      <c r="R118" t="s">
        <v>348</v>
      </c>
      <c r="T118" t="s">
        <v>216</v>
      </c>
      <c r="U118" t="s">
        <v>42</v>
      </c>
      <c r="V118" s="6" t="s">
        <v>2914</v>
      </c>
      <c r="W118" t="s">
        <v>349</v>
      </c>
      <c r="X118" t="str">
        <f>"402-952-4599"</f>
        <v>402-952-4599</v>
      </c>
      <c r="Z118" t="s">
        <v>103</v>
      </c>
    </row>
    <row r="119" spans="1:26" x14ac:dyDescent="0.25">
      <c r="A119" t="str">
        <f>"98-07"</f>
        <v>98-07</v>
      </c>
      <c r="C119" t="s">
        <v>2829</v>
      </c>
      <c r="D119" t="s">
        <v>2125</v>
      </c>
      <c r="E119" t="s">
        <v>772</v>
      </c>
      <c r="F119" t="s">
        <v>35</v>
      </c>
      <c r="G119" t="s">
        <v>324</v>
      </c>
      <c r="H119" t="s">
        <v>2163</v>
      </c>
      <c r="I119" t="str">
        <f>"402-333-7373"</f>
        <v>402-333-7373</v>
      </c>
      <c r="J119" s="11">
        <v>2</v>
      </c>
      <c r="K119" s="11">
        <v>48</v>
      </c>
      <c r="L119" s="11">
        <v>48</v>
      </c>
      <c r="M119" s="11" t="s">
        <v>3051</v>
      </c>
      <c r="N119" s="14">
        <v>42549</v>
      </c>
      <c r="P119" t="s">
        <v>2126</v>
      </c>
      <c r="Q119" t="s">
        <v>347</v>
      </c>
      <c r="R119" t="s">
        <v>348</v>
      </c>
      <c r="T119" t="s">
        <v>216</v>
      </c>
      <c r="U119" t="s">
        <v>42</v>
      </c>
      <c r="V119" s="6" t="s">
        <v>2914</v>
      </c>
      <c r="W119" t="s">
        <v>349</v>
      </c>
      <c r="X119" t="str">
        <f>"402-952-4599"</f>
        <v>402-952-4599</v>
      </c>
      <c r="Z119" t="s">
        <v>103</v>
      </c>
    </row>
    <row r="120" spans="1:26" x14ac:dyDescent="0.25">
      <c r="A120" t="s">
        <v>3174</v>
      </c>
      <c r="C120" t="s">
        <v>3175</v>
      </c>
      <c r="D120" t="s">
        <v>3190</v>
      </c>
      <c r="E120" t="s">
        <v>772</v>
      </c>
      <c r="F120" t="s">
        <v>35</v>
      </c>
      <c r="G120" t="s">
        <v>3176</v>
      </c>
      <c r="H120" t="s">
        <v>3177</v>
      </c>
      <c r="I120" t="s">
        <v>3178</v>
      </c>
      <c r="J120" s="11">
        <v>1</v>
      </c>
      <c r="K120" s="11">
        <v>56</v>
      </c>
      <c r="L120" s="11">
        <v>50</v>
      </c>
      <c r="M120" s="11" t="s">
        <v>3050</v>
      </c>
      <c r="N120" s="15" t="s">
        <v>3158</v>
      </c>
      <c r="P120" t="s">
        <v>3179</v>
      </c>
      <c r="Q120" t="s">
        <v>3177</v>
      </c>
      <c r="R120" t="s">
        <v>3184</v>
      </c>
      <c r="S120" t="s">
        <v>1580</v>
      </c>
      <c r="T120" t="s">
        <v>216</v>
      </c>
      <c r="U120" t="s">
        <v>3182</v>
      </c>
      <c r="V120" t="s">
        <v>3183</v>
      </c>
      <c r="W120" t="s">
        <v>3181</v>
      </c>
      <c r="X120" t="s">
        <v>3178</v>
      </c>
    </row>
    <row r="121" spans="1:26" x14ac:dyDescent="0.25">
      <c r="A121" t="str">
        <f>"95-34"</f>
        <v>95-34</v>
      </c>
      <c r="B121" t="s">
        <v>2057</v>
      </c>
      <c r="C121" t="s">
        <v>2709</v>
      </c>
      <c r="D121" t="s">
        <v>2058</v>
      </c>
      <c r="E121" t="s">
        <v>3066</v>
      </c>
      <c r="F121" t="s">
        <v>1345</v>
      </c>
      <c r="G121" t="s">
        <v>107</v>
      </c>
      <c r="H121" t="s">
        <v>108</v>
      </c>
      <c r="I121" t="str">
        <f>"515-313-7306"</f>
        <v>515-313-7306</v>
      </c>
      <c r="J121" s="11">
        <v>7</v>
      </c>
      <c r="K121" s="11">
        <v>32</v>
      </c>
      <c r="L121" s="11">
        <v>32</v>
      </c>
      <c r="M121" s="11" t="s">
        <v>3051</v>
      </c>
      <c r="N121" s="14">
        <v>43175</v>
      </c>
      <c r="P121" t="s">
        <v>2059</v>
      </c>
      <c r="Q121" t="s">
        <v>110</v>
      </c>
      <c r="R121" t="s">
        <v>111</v>
      </c>
      <c r="S121" t="s">
        <v>112</v>
      </c>
      <c r="T121" t="s">
        <v>113</v>
      </c>
      <c r="U121" t="s">
        <v>114</v>
      </c>
      <c r="V121" s="6" t="s">
        <v>2892</v>
      </c>
      <c r="W121" t="s">
        <v>115</v>
      </c>
      <c r="X121" t="str">
        <f>"602-200-5660"</f>
        <v>602-200-5660</v>
      </c>
      <c r="Y121" t="s">
        <v>21</v>
      </c>
      <c r="Z121" t="s">
        <v>116</v>
      </c>
    </row>
    <row r="122" spans="1:26" x14ac:dyDescent="0.25">
      <c r="A122" t="str">
        <f>"02-20"</f>
        <v>02-20</v>
      </c>
      <c r="B122" t="s">
        <v>292</v>
      </c>
      <c r="C122" t="s">
        <v>2348</v>
      </c>
      <c r="D122" t="s">
        <v>293</v>
      </c>
      <c r="E122" t="s">
        <v>3067</v>
      </c>
      <c r="F122" t="s">
        <v>294</v>
      </c>
      <c r="G122" t="s">
        <v>295</v>
      </c>
      <c r="H122" t="s">
        <v>296</v>
      </c>
      <c r="I122" t="str">
        <f>"262-790-4560"</f>
        <v>262-790-4560</v>
      </c>
      <c r="J122" s="11">
        <v>1</v>
      </c>
      <c r="K122" s="11">
        <v>32</v>
      </c>
      <c r="L122" s="11">
        <v>31</v>
      </c>
      <c r="M122" s="11" t="s">
        <v>3149</v>
      </c>
      <c r="N122" s="14">
        <v>43958</v>
      </c>
      <c r="P122" t="s">
        <v>297</v>
      </c>
      <c r="Q122" t="s">
        <v>296</v>
      </c>
      <c r="R122" t="s">
        <v>298</v>
      </c>
      <c r="T122" t="s">
        <v>299</v>
      </c>
      <c r="U122" t="s">
        <v>300</v>
      </c>
      <c r="V122" s="6" t="s">
        <v>2909</v>
      </c>
      <c r="W122" t="s">
        <v>301</v>
      </c>
      <c r="X122" t="str">
        <f>"262-790-4560"</f>
        <v>262-790-4560</v>
      </c>
      <c r="Y122" t="s">
        <v>21</v>
      </c>
      <c r="Z122" t="s">
        <v>20</v>
      </c>
    </row>
    <row r="123" spans="1:26" x14ac:dyDescent="0.25">
      <c r="A123" t="str">
        <f>"07-01"</f>
        <v>07-01</v>
      </c>
      <c r="B123" t="s">
        <v>795</v>
      </c>
      <c r="C123" t="s">
        <v>2799</v>
      </c>
      <c r="D123" t="s">
        <v>796</v>
      </c>
      <c r="E123" t="s">
        <v>3067</v>
      </c>
      <c r="F123" t="s">
        <v>294</v>
      </c>
      <c r="G123" t="s">
        <v>797</v>
      </c>
      <c r="H123" t="s">
        <v>798</v>
      </c>
      <c r="I123" t="str">
        <f>"816-233-0042"</f>
        <v>816-233-0042</v>
      </c>
      <c r="J123" s="11">
        <v>6</v>
      </c>
      <c r="K123" s="11">
        <v>24</v>
      </c>
      <c r="L123" s="11">
        <v>24</v>
      </c>
      <c r="M123" s="11" t="s">
        <v>3049</v>
      </c>
      <c r="N123" s="14">
        <v>43690</v>
      </c>
      <c r="P123" t="s">
        <v>799</v>
      </c>
      <c r="Q123" t="s">
        <v>800</v>
      </c>
      <c r="R123" t="s">
        <v>801</v>
      </c>
      <c r="S123" t="s">
        <v>802</v>
      </c>
      <c r="T123" t="s">
        <v>803</v>
      </c>
      <c r="U123" t="s">
        <v>237</v>
      </c>
      <c r="V123" s="6" t="s">
        <v>2948</v>
      </c>
      <c r="W123" t="s">
        <v>804</v>
      </c>
      <c r="X123" t="str">
        <f>"816-569-6420"</f>
        <v>816-569-6420</v>
      </c>
      <c r="Y123" t="s">
        <v>21</v>
      </c>
      <c r="Z123" t="s">
        <v>44</v>
      </c>
    </row>
    <row r="124" spans="1:26" x14ac:dyDescent="0.25">
      <c r="A124" t="str">
        <f>"10-10-25"</f>
        <v>10-10-25</v>
      </c>
      <c r="C124" t="s">
        <v>2510</v>
      </c>
      <c r="D124" t="s">
        <v>1181</v>
      </c>
      <c r="E124" t="s">
        <v>3067</v>
      </c>
      <c r="F124" t="s">
        <v>294</v>
      </c>
      <c r="G124" t="s">
        <v>1182</v>
      </c>
      <c r="H124" t="s">
        <v>1183</v>
      </c>
      <c r="I124" t="str">
        <f>"563-432-6160"</f>
        <v>563-432-6160</v>
      </c>
      <c r="J124" s="11">
        <v>1</v>
      </c>
      <c r="K124" s="11">
        <v>24</v>
      </c>
      <c r="L124" s="11">
        <v>24</v>
      </c>
      <c r="M124" s="11" t="s">
        <v>3050</v>
      </c>
      <c r="N124" s="14">
        <v>43661</v>
      </c>
      <c r="P124" t="s">
        <v>1184</v>
      </c>
      <c r="Q124" t="s">
        <v>811</v>
      </c>
      <c r="R124" t="s">
        <v>812</v>
      </c>
      <c r="S124" t="s">
        <v>813</v>
      </c>
      <c r="T124" t="s">
        <v>540</v>
      </c>
      <c r="U124" t="s">
        <v>31</v>
      </c>
      <c r="V124" s="6" t="s">
        <v>2949</v>
      </c>
      <c r="W124" t="s">
        <v>814</v>
      </c>
      <c r="X124" t="str">
        <f>"651-523-1252"</f>
        <v>651-523-1252</v>
      </c>
      <c r="Y124" t="s">
        <v>33</v>
      </c>
      <c r="Z124" t="s">
        <v>116</v>
      </c>
    </row>
    <row r="125" spans="1:26" x14ac:dyDescent="0.25">
      <c r="A125" t="str">
        <f>"96-06"</f>
        <v>96-06</v>
      </c>
      <c r="B125" t="s">
        <v>2077</v>
      </c>
      <c r="C125" t="s">
        <v>2716</v>
      </c>
      <c r="D125" t="s">
        <v>2078</v>
      </c>
      <c r="E125" t="s">
        <v>3067</v>
      </c>
      <c r="F125" t="s">
        <v>294</v>
      </c>
      <c r="G125" t="s">
        <v>797</v>
      </c>
      <c r="H125" t="s">
        <v>798</v>
      </c>
      <c r="I125" t="str">
        <f>"816-233-0042"</f>
        <v>816-233-0042</v>
      </c>
      <c r="J125" s="11">
        <v>6</v>
      </c>
      <c r="K125" s="11">
        <v>24</v>
      </c>
      <c r="L125" s="11">
        <v>24</v>
      </c>
      <c r="M125" s="11" t="s">
        <v>3051</v>
      </c>
      <c r="N125" s="14">
        <v>43690</v>
      </c>
      <c r="P125" t="s">
        <v>797</v>
      </c>
      <c r="Q125" t="s">
        <v>798</v>
      </c>
      <c r="R125" t="s">
        <v>2079</v>
      </c>
      <c r="T125" t="s">
        <v>2080</v>
      </c>
      <c r="U125" t="s">
        <v>237</v>
      </c>
      <c r="V125" s="6" t="s">
        <v>3041</v>
      </c>
      <c r="W125" t="s">
        <v>2081</v>
      </c>
      <c r="X125" t="str">
        <f>"816-233-0042"</f>
        <v>816-233-0042</v>
      </c>
      <c r="Y125" t="s">
        <v>21</v>
      </c>
      <c r="Z125" t="s">
        <v>44</v>
      </c>
    </row>
    <row r="126" spans="1:26" x14ac:dyDescent="0.25">
      <c r="A126" t="str">
        <f>"00-01"</f>
        <v>00-01</v>
      </c>
      <c r="C126" t="s">
        <v>2318</v>
      </c>
      <c r="D126" t="s">
        <v>10</v>
      </c>
      <c r="E126" t="s">
        <v>249</v>
      </c>
      <c r="F126" t="s">
        <v>11</v>
      </c>
      <c r="G126" t="s">
        <v>12</v>
      </c>
      <c r="H126" t="s">
        <v>13</v>
      </c>
      <c r="I126" t="str">
        <f>"608-348-7755"</f>
        <v>608-348-7755</v>
      </c>
      <c r="J126" s="11">
        <v>12</v>
      </c>
      <c r="K126" s="11">
        <v>48</v>
      </c>
      <c r="L126" s="11">
        <v>48</v>
      </c>
      <c r="M126" s="11" t="s">
        <v>3051</v>
      </c>
      <c r="N126" s="14">
        <v>44007</v>
      </c>
      <c r="P126" t="s">
        <v>14</v>
      </c>
      <c r="Q126" t="s">
        <v>15</v>
      </c>
      <c r="R126" t="s">
        <v>16</v>
      </c>
      <c r="T126" t="s">
        <v>17</v>
      </c>
      <c r="U126" t="s">
        <v>18</v>
      </c>
      <c r="V126" s="6" t="s">
        <v>2884</v>
      </c>
      <c r="W126" t="s">
        <v>19</v>
      </c>
      <c r="X126" t="str">
        <f>"608-348-7755"</f>
        <v>608-348-7755</v>
      </c>
      <c r="Y126" t="s">
        <v>21</v>
      </c>
      <c r="Z126" t="s">
        <v>20</v>
      </c>
    </row>
    <row r="127" spans="1:26" x14ac:dyDescent="0.25">
      <c r="A127" t="str">
        <f>"00-13"</f>
        <v>00-13</v>
      </c>
      <c r="C127" t="s">
        <v>2321</v>
      </c>
      <c r="D127" t="s">
        <v>45</v>
      </c>
      <c r="E127" t="s">
        <v>249</v>
      </c>
      <c r="F127" t="s">
        <v>11</v>
      </c>
      <c r="G127" t="s">
        <v>12</v>
      </c>
      <c r="H127" t="s">
        <v>13</v>
      </c>
      <c r="I127" t="str">
        <f>"608-348-7755"</f>
        <v>608-348-7755</v>
      </c>
      <c r="J127" s="11">
        <v>4</v>
      </c>
      <c r="K127" s="11">
        <v>38</v>
      </c>
      <c r="L127" s="11">
        <v>38</v>
      </c>
      <c r="M127" s="11" t="s">
        <v>3051</v>
      </c>
      <c r="N127" s="14">
        <v>44133</v>
      </c>
      <c r="P127" t="s">
        <v>46</v>
      </c>
      <c r="Q127" t="s">
        <v>47</v>
      </c>
      <c r="R127" t="s">
        <v>48</v>
      </c>
      <c r="T127" t="s">
        <v>49</v>
      </c>
      <c r="U127" t="s">
        <v>50</v>
      </c>
      <c r="V127" s="6" t="s">
        <v>2887</v>
      </c>
      <c r="W127" t="s">
        <v>51</v>
      </c>
      <c r="X127" t="str">
        <f>"800-333-3509"</f>
        <v>800-333-3509</v>
      </c>
      <c r="Y127" t="s">
        <v>21</v>
      </c>
      <c r="Z127" t="s">
        <v>20</v>
      </c>
    </row>
    <row r="128" spans="1:26" x14ac:dyDescent="0.25">
      <c r="A128" t="str">
        <f>"02-01"</f>
        <v>02-01</v>
      </c>
      <c r="B128" t="s">
        <v>243</v>
      </c>
      <c r="C128" t="s">
        <v>2342</v>
      </c>
      <c r="D128" t="s">
        <v>244</v>
      </c>
      <c r="E128" t="s">
        <v>249</v>
      </c>
      <c r="F128" t="s">
        <v>11</v>
      </c>
      <c r="G128" t="s">
        <v>245</v>
      </c>
      <c r="H128" t="s">
        <v>246</v>
      </c>
      <c r="I128" t="str">
        <f>"563-445-7977"</f>
        <v>563-445-7977</v>
      </c>
      <c r="J128" s="11">
        <v>1</v>
      </c>
      <c r="K128" s="11">
        <v>10</v>
      </c>
      <c r="L128" s="11">
        <v>10</v>
      </c>
      <c r="M128" s="11" t="s">
        <v>3049</v>
      </c>
      <c r="N128" s="14">
        <v>44151</v>
      </c>
      <c r="P128" t="s">
        <v>247</v>
      </c>
      <c r="Q128" t="s">
        <v>246</v>
      </c>
      <c r="R128" t="s">
        <v>248</v>
      </c>
      <c r="T128" t="s">
        <v>249</v>
      </c>
      <c r="U128" t="s">
        <v>18</v>
      </c>
      <c r="V128" s="6" t="s">
        <v>2905</v>
      </c>
      <c r="W128" t="s">
        <v>250</v>
      </c>
      <c r="X128" t="str">
        <f>"563-445-7977"</f>
        <v>563-445-7977</v>
      </c>
      <c r="Y128" t="s">
        <v>21</v>
      </c>
      <c r="Z128" t="s">
        <v>44</v>
      </c>
    </row>
    <row r="129" spans="1:26" x14ac:dyDescent="0.25">
      <c r="A129" t="str">
        <f>"03-09"</f>
        <v>03-09</v>
      </c>
      <c r="C129" t="s">
        <v>2356</v>
      </c>
      <c r="D129" t="s">
        <v>375</v>
      </c>
      <c r="E129" t="s">
        <v>249</v>
      </c>
      <c r="F129" t="s">
        <v>11</v>
      </c>
      <c r="G129" t="s">
        <v>12</v>
      </c>
      <c r="H129" t="s">
        <v>13</v>
      </c>
      <c r="I129" t="str">
        <f>"608-348-7755"</f>
        <v>608-348-7755</v>
      </c>
      <c r="J129" s="11">
        <v>2</v>
      </c>
      <c r="K129" s="11">
        <v>50</v>
      </c>
      <c r="L129" s="11">
        <v>50</v>
      </c>
      <c r="M129" s="11" t="s">
        <v>3051</v>
      </c>
      <c r="N129" s="14">
        <v>42929</v>
      </c>
      <c r="P129" t="s">
        <v>376</v>
      </c>
      <c r="Q129" t="s">
        <v>47</v>
      </c>
      <c r="R129" t="s">
        <v>48</v>
      </c>
      <c r="T129" t="s">
        <v>49</v>
      </c>
      <c r="U129" t="s">
        <v>50</v>
      </c>
      <c r="V129" s="6" t="s">
        <v>2887</v>
      </c>
      <c r="W129" t="s">
        <v>51</v>
      </c>
      <c r="X129" t="str">
        <f>"800-333-3509"</f>
        <v>800-333-3509</v>
      </c>
      <c r="Y129" t="s">
        <v>33</v>
      </c>
      <c r="Z129" t="s">
        <v>20</v>
      </c>
    </row>
    <row r="130" spans="1:26" x14ac:dyDescent="0.25">
      <c r="A130" t="str">
        <f>"03-21"</f>
        <v>03-21</v>
      </c>
      <c r="B130" t="s">
        <v>390</v>
      </c>
      <c r="C130" t="s">
        <v>2358</v>
      </c>
      <c r="D130" t="s">
        <v>391</v>
      </c>
      <c r="E130" t="s">
        <v>249</v>
      </c>
      <c r="F130" t="s">
        <v>11</v>
      </c>
      <c r="G130" t="s">
        <v>392</v>
      </c>
      <c r="H130" t="s">
        <v>393</v>
      </c>
      <c r="I130" t="str">
        <f>"651-209-0531"</f>
        <v>651-209-0531</v>
      </c>
      <c r="J130" s="11">
        <v>10</v>
      </c>
      <c r="K130" s="11">
        <v>10</v>
      </c>
      <c r="L130" s="11">
        <v>10</v>
      </c>
      <c r="M130" s="11" t="s">
        <v>3049</v>
      </c>
      <c r="N130" s="14">
        <v>44102</v>
      </c>
      <c r="P130" t="s">
        <v>394</v>
      </c>
      <c r="Q130" t="s">
        <v>395</v>
      </c>
      <c r="R130" t="s">
        <v>396</v>
      </c>
      <c r="S130" t="s">
        <v>100</v>
      </c>
      <c r="T130" t="s">
        <v>30</v>
      </c>
      <c r="U130" t="s">
        <v>31</v>
      </c>
      <c r="V130" s="6" t="s">
        <v>2918</v>
      </c>
      <c r="W130" t="s">
        <v>397</v>
      </c>
      <c r="X130" t="str">
        <f>"651-815-0665"</f>
        <v>651-815-0665</v>
      </c>
      <c r="Y130" t="s">
        <v>21</v>
      </c>
      <c r="Z130" t="s">
        <v>20</v>
      </c>
    </row>
    <row r="131" spans="1:26" x14ac:dyDescent="0.25">
      <c r="A131" t="str">
        <f>"03-22"</f>
        <v>03-22</v>
      </c>
      <c r="B131" t="s">
        <v>398</v>
      </c>
      <c r="C131" t="s">
        <v>2359</v>
      </c>
      <c r="D131" t="s">
        <v>399</v>
      </c>
      <c r="E131" t="s">
        <v>249</v>
      </c>
      <c r="F131" t="s">
        <v>11</v>
      </c>
      <c r="G131" t="s">
        <v>392</v>
      </c>
      <c r="H131" t="s">
        <v>393</v>
      </c>
      <c r="I131" t="str">
        <f>"651-209-0531"</f>
        <v>651-209-0531</v>
      </c>
      <c r="J131" s="11">
        <v>2</v>
      </c>
      <c r="K131" s="11">
        <v>28</v>
      </c>
      <c r="L131" s="11">
        <v>28</v>
      </c>
      <c r="M131" s="11" t="s">
        <v>3051</v>
      </c>
      <c r="N131" s="14">
        <v>43430</v>
      </c>
      <c r="P131" t="s">
        <v>400</v>
      </c>
      <c r="Q131" t="s">
        <v>395</v>
      </c>
      <c r="R131" t="s">
        <v>396</v>
      </c>
      <c r="S131" t="s">
        <v>100</v>
      </c>
      <c r="T131" t="s">
        <v>30</v>
      </c>
      <c r="U131" t="s">
        <v>31</v>
      </c>
      <c r="V131" s="6" t="s">
        <v>2918</v>
      </c>
      <c r="W131" t="s">
        <v>397</v>
      </c>
      <c r="X131" t="str">
        <f>"651-815-0665"</f>
        <v>651-815-0665</v>
      </c>
      <c r="Y131" t="s">
        <v>33</v>
      </c>
      <c r="Z131" t="s">
        <v>20</v>
      </c>
    </row>
    <row r="132" spans="1:26" x14ac:dyDescent="0.25">
      <c r="A132" t="str">
        <f>"03-41"</f>
        <v>03-41</v>
      </c>
      <c r="C132" t="s">
        <v>2368</v>
      </c>
      <c r="D132" t="s">
        <v>446</v>
      </c>
      <c r="E132" t="s">
        <v>249</v>
      </c>
      <c r="F132" t="s">
        <v>11</v>
      </c>
      <c r="G132" t="s">
        <v>447</v>
      </c>
      <c r="H132" t="s">
        <v>448</v>
      </c>
      <c r="I132" t="str">
        <f>"515-809-5400"</f>
        <v>515-809-5400</v>
      </c>
      <c r="J132" s="11">
        <v>2</v>
      </c>
      <c r="K132" s="11">
        <v>72</v>
      </c>
      <c r="L132" s="11">
        <v>50</v>
      </c>
      <c r="M132" s="11" t="s">
        <v>3051</v>
      </c>
      <c r="N132" s="14">
        <v>43404</v>
      </c>
      <c r="P132" t="s">
        <v>449</v>
      </c>
      <c r="Q132" t="s">
        <v>450</v>
      </c>
      <c r="R132" t="s">
        <v>451</v>
      </c>
      <c r="S132" t="s">
        <v>452</v>
      </c>
      <c r="T132" t="s">
        <v>453</v>
      </c>
      <c r="U132" t="s">
        <v>454</v>
      </c>
      <c r="V132" s="6" t="s">
        <v>2924</v>
      </c>
      <c r="X132" t="str">
        <f>"312-766-3503"</f>
        <v>312-766-3503</v>
      </c>
      <c r="Y132" t="s">
        <v>151</v>
      </c>
      <c r="Z132" t="s">
        <v>103</v>
      </c>
    </row>
    <row r="133" spans="1:26" x14ac:dyDescent="0.25">
      <c r="A133" t="str">
        <f>"04-02"</f>
        <v>04-02</v>
      </c>
      <c r="B133" t="s">
        <v>473</v>
      </c>
      <c r="C133" t="s">
        <v>2374</v>
      </c>
      <c r="D133" t="s">
        <v>474</v>
      </c>
      <c r="E133" t="s">
        <v>249</v>
      </c>
      <c r="F133" t="s">
        <v>11</v>
      </c>
      <c r="G133" t="s">
        <v>245</v>
      </c>
      <c r="H133" t="s">
        <v>246</v>
      </c>
      <c r="I133" t="str">
        <f>"563-445-7977"</f>
        <v>563-445-7977</v>
      </c>
      <c r="J133" s="11">
        <v>1</v>
      </c>
      <c r="K133" s="11">
        <v>10</v>
      </c>
      <c r="L133" s="11">
        <v>10</v>
      </c>
      <c r="M133" s="11" t="s">
        <v>3049</v>
      </c>
      <c r="N133" s="14">
        <v>44151</v>
      </c>
      <c r="P133" t="s">
        <v>475</v>
      </c>
      <c r="Q133" t="s">
        <v>246</v>
      </c>
      <c r="R133" t="s">
        <v>248</v>
      </c>
      <c r="T133" t="s">
        <v>249</v>
      </c>
      <c r="U133" t="s">
        <v>18</v>
      </c>
      <c r="V133" s="6" t="s">
        <v>2905</v>
      </c>
      <c r="W133" t="s">
        <v>250</v>
      </c>
      <c r="X133" t="str">
        <f>"563-445-7977"</f>
        <v>563-445-7977</v>
      </c>
      <c r="Y133" t="s">
        <v>21</v>
      </c>
      <c r="Z133" t="s">
        <v>44</v>
      </c>
    </row>
    <row r="134" spans="1:26" x14ac:dyDescent="0.25">
      <c r="A134" t="str">
        <f>"04-09"</f>
        <v>04-09</v>
      </c>
      <c r="C134" t="s">
        <v>2782</v>
      </c>
      <c r="D134" t="s">
        <v>375</v>
      </c>
      <c r="E134" t="s">
        <v>249</v>
      </c>
      <c r="F134" t="s">
        <v>11</v>
      </c>
      <c r="G134" t="s">
        <v>12</v>
      </c>
      <c r="H134" t="s">
        <v>13</v>
      </c>
      <c r="I134" t="str">
        <f>"608-348-7755"</f>
        <v>608-348-7755</v>
      </c>
      <c r="J134" s="11">
        <v>1</v>
      </c>
      <c r="K134" s="11">
        <v>31</v>
      </c>
      <c r="L134" s="11">
        <v>31</v>
      </c>
      <c r="M134" s="11" t="s">
        <v>3051</v>
      </c>
      <c r="N134" s="14">
        <v>42929</v>
      </c>
      <c r="P134" t="s">
        <v>2864</v>
      </c>
      <c r="Q134" t="s">
        <v>47</v>
      </c>
      <c r="R134" t="s">
        <v>48</v>
      </c>
      <c r="T134" t="s">
        <v>49</v>
      </c>
      <c r="U134" t="s">
        <v>50</v>
      </c>
      <c r="V134" s="6" t="s">
        <v>2887</v>
      </c>
      <c r="W134" t="s">
        <v>51</v>
      </c>
      <c r="X134" t="str">
        <f>"800-333-3509"</f>
        <v>800-333-3509</v>
      </c>
      <c r="Y134" t="s">
        <v>33</v>
      </c>
      <c r="Z134" t="s">
        <v>20</v>
      </c>
    </row>
    <row r="135" spans="1:26" x14ac:dyDescent="0.25">
      <c r="A135" t="str">
        <f>"04-11"</f>
        <v>04-11</v>
      </c>
      <c r="C135" t="s">
        <v>2794</v>
      </c>
      <c r="D135" t="s">
        <v>375</v>
      </c>
      <c r="E135" t="s">
        <v>249</v>
      </c>
      <c r="F135" t="s">
        <v>11</v>
      </c>
      <c r="G135" t="s">
        <v>12</v>
      </c>
      <c r="H135" t="s">
        <v>13</v>
      </c>
      <c r="I135" t="str">
        <f>"608-348-7755"</f>
        <v>608-348-7755</v>
      </c>
      <c r="J135" s="11">
        <v>1</v>
      </c>
      <c r="K135" s="11">
        <v>51</v>
      </c>
      <c r="L135" s="11">
        <v>51</v>
      </c>
      <c r="M135" s="11" t="s">
        <v>3051</v>
      </c>
      <c r="N135" s="14">
        <v>44039</v>
      </c>
      <c r="P135" t="s">
        <v>476</v>
      </c>
      <c r="Q135" t="s">
        <v>47</v>
      </c>
      <c r="R135" t="s">
        <v>48</v>
      </c>
      <c r="T135" t="s">
        <v>49</v>
      </c>
      <c r="U135" t="s">
        <v>50</v>
      </c>
      <c r="V135" s="6" t="s">
        <v>2887</v>
      </c>
      <c r="W135" t="s">
        <v>51</v>
      </c>
      <c r="X135" t="str">
        <f>"800-333-3509"</f>
        <v>800-333-3509</v>
      </c>
      <c r="Y135" t="s">
        <v>151</v>
      </c>
      <c r="Z135" t="s">
        <v>20</v>
      </c>
    </row>
    <row r="136" spans="1:26" x14ac:dyDescent="0.25">
      <c r="A136" t="str">
        <f>"05-14"</f>
        <v>05-14</v>
      </c>
      <c r="B136" t="s">
        <v>570</v>
      </c>
      <c r="C136" t="s">
        <v>2875</v>
      </c>
      <c r="D136" t="s">
        <v>571</v>
      </c>
      <c r="E136" t="s">
        <v>249</v>
      </c>
      <c r="F136" t="s">
        <v>11</v>
      </c>
      <c r="G136" t="s">
        <v>392</v>
      </c>
      <c r="H136" t="s">
        <v>393</v>
      </c>
      <c r="I136" t="str">
        <f>"651-209-0531"</f>
        <v>651-209-0531</v>
      </c>
      <c r="J136" s="11">
        <v>5</v>
      </c>
      <c r="K136" s="11">
        <v>21</v>
      </c>
      <c r="L136" s="11">
        <v>21</v>
      </c>
      <c r="M136" s="11" t="s">
        <v>3050</v>
      </c>
      <c r="N136" s="14">
        <v>43685</v>
      </c>
      <c r="P136" t="s">
        <v>572</v>
      </c>
      <c r="Q136" t="s">
        <v>395</v>
      </c>
      <c r="R136" t="s">
        <v>396</v>
      </c>
      <c r="S136" t="s">
        <v>100</v>
      </c>
      <c r="T136" t="s">
        <v>30</v>
      </c>
      <c r="U136" t="s">
        <v>31</v>
      </c>
      <c r="V136" s="6" t="s">
        <v>2918</v>
      </c>
      <c r="W136" t="s">
        <v>397</v>
      </c>
      <c r="X136" t="str">
        <f>"651-815-0665"</f>
        <v>651-815-0665</v>
      </c>
      <c r="Y136" t="s">
        <v>33</v>
      </c>
      <c r="Z136" t="s">
        <v>20</v>
      </c>
    </row>
    <row r="137" spans="1:26" x14ac:dyDescent="0.25">
      <c r="A137" t="str">
        <f>"05-16"</f>
        <v>05-16</v>
      </c>
      <c r="C137" t="s">
        <v>2797</v>
      </c>
      <c r="D137" t="s">
        <v>10</v>
      </c>
      <c r="E137" t="s">
        <v>249</v>
      </c>
      <c r="F137" t="s">
        <v>11</v>
      </c>
      <c r="G137" t="s">
        <v>12</v>
      </c>
      <c r="H137" t="s">
        <v>13</v>
      </c>
      <c r="I137" t="str">
        <f>"608-348-7755"</f>
        <v>608-348-7755</v>
      </c>
      <c r="J137" s="11">
        <v>9</v>
      </c>
      <c r="K137" s="11">
        <v>36</v>
      </c>
      <c r="L137" s="11">
        <v>36</v>
      </c>
      <c r="M137" s="11" t="s">
        <v>3050</v>
      </c>
      <c r="N137" s="14">
        <v>44152</v>
      </c>
      <c r="P137" t="s">
        <v>575</v>
      </c>
      <c r="Q137" t="s">
        <v>15</v>
      </c>
      <c r="R137" t="s">
        <v>16</v>
      </c>
      <c r="T137" t="s">
        <v>17</v>
      </c>
      <c r="U137" t="s">
        <v>18</v>
      </c>
      <c r="V137" s="6" t="s">
        <v>2931</v>
      </c>
      <c r="W137" t="s">
        <v>19</v>
      </c>
      <c r="X137" t="str">
        <f>"608-348-7755"</f>
        <v>608-348-7755</v>
      </c>
      <c r="Y137" t="s">
        <v>21</v>
      </c>
      <c r="Z137" t="s">
        <v>20</v>
      </c>
    </row>
    <row r="138" spans="1:26" x14ac:dyDescent="0.25">
      <c r="A138" t="str">
        <f>"05-34"</f>
        <v>05-34</v>
      </c>
      <c r="C138" t="s">
        <v>2403</v>
      </c>
      <c r="D138" t="s">
        <v>616</v>
      </c>
      <c r="E138" t="s">
        <v>249</v>
      </c>
      <c r="F138" t="s">
        <v>11</v>
      </c>
      <c r="G138" t="s">
        <v>447</v>
      </c>
      <c r="H138" t="s">
        <v>448</v>
      </c>
      <c r="I138" t="str">
        <f>"515-809-5400"</f>
        <v>515-809-5400</v>
      </c>
      <c r="J138" s="11">
        <v>1</v>
      </c>
      <c r="K138" s="11">
        <v>53</v>
      </c>
      <c r="L138" s="11">
        <v>37</v>
      </c>
      <c r="M138" s="11" t="s">
        <v>3050</v>
      </c>
      <c r="N138" s="14">
        <v>44180</v>
      </c>
      <c r="P138" t="s">
        <v>617</v>
      </c>
      <c r="Q138" t="s">
        <v>450</v>
      </c>
      <c r="R138" t="s">
        <v>451</v>
      </c>
      <c r="S138" t="s">
        <v>452</v>
      </c>
      <c r="T138" t="s">
        <v>453</v>
      </c>
      <c r="U138" t="s">
        <v>454</v>
      </c>
      <c r="V138" s="6" t="s">
        <v>2924</v>
      </c>
      <c r="W138" t="s">
        <v>618</v>
      </c>
      <c r="X138" t="str">
        <f>"312-766-3503"</f>
        <v>312-766-3503</v>
      </c>
      <c r="Y138" t="s">
        <v>151</v>
      </c>
      <c r="Z138" t="s">
        <v>103</v>
      </c>
    </row>
    <row r="139" spans="1:26" x14ac:dyDescent="0.25">
      <c r="A139" t="str">
        <f>"05-44"</f>
        <v>05-44</v>
      </c>
      <c r="C139" t="s">
        <v>2406</v>
      </c>
      <c r="D139" t="s">
        <v>625</v>
      </c>
      <c r="E139" t="s">
        <v>249</v>
      </c>
      <c r="F139" t="s">
        <v>11</v>
      </c>
      <c r="G139" t="s">
        <v>392</v>
      </c>
      <c r="H139" t="s">
        <v>393</v>
      </c>
      <c r="I139" t="str">
        <f>"651-209-0531"</f>
        <v>651-209-0531</v>
      </c>
      <c r="J139" s="11">
        <v>1</v>
      </c>
      <c r="K139" s="11">
        <v>56</v>
      </c>
      <c r="L139" s="11">
        <v>52</v>
      </c>
      <c r="M139" s="11" t="s">
        <v>3050</v>
      </c>
      <c r="N139" s="14">
        <v>43333</v>
      </c>
      <c r="P139" t="s">
        <v>626</v>
      </c>
      <c r="Q139" t="s">
        <v>395</v>
      </c>
      <c r="R139" t="s">
        <v>396</v>
      </c>
      <c r="S139" t="s">
        <v>100</v>
      </c>
      <c r="T139" t="s">
        <v>30</v>
      </c>
      <c r="U139" t="s">
        <v>31</v>
      </c>
      <c r="V139" s="6" t="s">
        <v>2918</v>
      </c>
      <c r="W139" t="s">
        <v>397</v>
      </c>
      <c r="X139" t="str">
        <f>"651-815-0665"</f>
        <v>651-815-0665</v>
      </c>
      <c r="Z139" t="s">
        <v>20</v>
      </c>
    </row>
    <row r="140" spans="1:26" x14ac:dyDescent="0.25">
      <c r="A140" t="str">
        <f>"06-33"</f>
        <v>06-33</v>
      </c>
      <c r="C140" t="s">
        <v>2848</v>
      </c>
      <c r="D140" t="s">
        <v>743</v>
      </c>
      <c r="E140" t="s">
        <v>249</v>
      </c>
      <c r="F140" t="s">
        <v>11</v>
      </c>
      <c r="G140" t="s">
        <v>12</v>
      </c>
      <c r="H140" t="s">
        <v>13</v>
      </c>
      <c r="I140" t="str">
        <f>"608-348-7755"</f>
        <v>608-348-7755</v>
      </c>
      <c r="J140" s="11">
        <v>2</v>
      </c>
      <c r="K140" s="11">
        <v>20</v>
      </c>
      <c r="L140" s="11">
        <v>20</v>
      </c>
      <c r="M140" s="11" t="s">
        <v>3050</v>
      </c>
      <c r="N140" s="14">
        <v>43334</v>
      </c>
      <c r="P140" t="s">
        <v>744</v>
      </c>
      <c r="Q140" t="s">
        <v>15</v>
      </c>
      <c r="R140" t="s">
        <v>16</v>
      </c>
      <c r="T140" t="s">
        <v>17</v>
      </c>
      <c r="U140" t="s">
        <v>18</v>
      </c>
      <c r="V140" s="6" t="s">
        <v>2931</v>
      </c>
      <c r="W140" t="s">
        <v>19</v>
      </c>
      <c r="X140" t="str">
        <f>"608-348-7755"</f>
        <v>608-348-7755</v>
      </c>
      <c r="Y140" t="s">
        <v>33</v>
      </c>
      <c r="Z140" t="s">
        <v>20</v>
      </c>
    </row>
    <row r="141" spans="1:26" x14ac:dyDescent="0.25">
      <c r="A141" t="str">
        <f>"06-49"</f>
        <v>06-49</v>
      </c>
      <c r="C141" t="s">
        <v>2431</v>
      </c>
      <c r="D141" t="s">
        <v>774</v>
      </c>
      <c r="E141" t="s">
        <v>249</v>
      </c>
      <c r="F141" t="s">
        <v>11</v>
      </c>
      <c r="G141" t="s">
        <v>383</v>
      </c>
      <c r="H141" t="s">
        <v>384</v>
      </c>
      <c r="I141" t="str">
        <f>"563-359-1075"</f>
        <v>563-359-1075</v>
      </c>
      <c r="J141" s="11">
        <v>1</v>
      </c>
      <c r="K141" s="11">
        <v>120</v>
      </c>
      <c r="L141" s="11">
        <v>117</v>
      </c>
      <c r="M141" s="11" t="s">
        <v>3051</v>
      </c>
      <c r="N141" s="14">
        <v>43367</v>
      </c>
      <c r="P141" t="s">
        <v>775</v>
      </c>
      <c r="Q141" t="s">
        <v>386</v>
      </c>
      <c r="R141" t="s">
        <v>387</v>
      </c>
      <c r="T141" t="s">
        <v>388</v>
      </c>
      <c r="U141" t="s">
        <v>300</v>
      </c>
      <c r="V141" s="6" t="s">
        <v>2917</v>
      </c>
      <c r="W141" t="s">
        <v>776</v>
      </c>
      <c r="X141" t="str">
        <f>"414-727-9902"</f>
        <v>414-727-9902</v>
      </c>
      <c r="Y141" t="s">
        <v>151</v>
      </c>
      <c r="Z141" t="s">
        <v>116</v>
      </c>
    </row>
    <row r="142" spans="1:26" x14ac:dyDescent="0.25">
      <c r="A142" t="str">
        <f>"07-14"</f>
        <v>07-14</v>
      </c>
      <c r="C142" t="s">
        <v>2849</v>
      </c>
      <c r="D142" t="s">
        <v>825</v>
      </c>
      <c r="E142" t="s">
        <v>249</v>
      </c>
      <c r="F142" t="s">
        <v>11</v>
      </c>
      <c r="G142" t="s">
        <v>24</v>
      </c>
      <c r="H142" t="s">
        <v>25</v>
      </c>
      <c r="I142" t="str">
        <f>"319-415-7610"</f>
        <v>319-415-7610</v>
      </c>
      <c r="J142" s="11">
        <v>1</v>
      </c>
      <c r="K142" s="11">
        <v>42</v>
      </c>
      <c r="L142" s="11">
        <v>42</v>
      </c>
      <c r="M142" s="11" t="s">
        <v>3050</v>
      </c>
      <c r="N142" s="14">
        <v>44039</v>
      </c>
      <c r="P142" t="s">
        <v>826</v>
      </c>
      <c r="Q142" t="s">
        <v>811</v>
      </c>
      <c r="R142" t="s">
        <v>812</v>
      </c>
      <c r="S142" t="s">
        <v>813</v>
      </c>
      <c r="T142" t="s">
        <v>540</v>
      </c>
      <c r="U142" t="s">
        <v>31</v>
      </c>
      <c r="V142" s="6" t="s">
        <v>2949</v>
      </c>
      <c r="W142" t="s">
        <v>814</v>
      </c>
      <c r="X142" t="str">
        <f>"651-523-1252"</f>
        <v>651-523-1252</v>
      </c>
      <c r="Y142" t="s">
        <v>33</v>
      </c>
      <c r="Z142" t="s">
        <v>20</v>
      </c>
    </row>
    <row r="143" spans="1:26" x14ac:dyDescent="0.25">
      <c r="A143" t="str">
        <f>"07-32"</f>
        <v>07-32</v>
      </c>
      <c r="C143" t="s">
        <v>2443</v>
      </c>
      <c r="D143" t="s">
        <v>850</v>
      </c>
      <c r="E143" t="s">
        <v>249</v>
      </c>
      <c r="F143" t="s">
        <v>11</v>
      </c>
      <c r="G143" t="s">
        <v>851</v>
      </c>
      <c r="H143" t="s">
        <v>852</v>
      </c>
      <c r="I143" t="str">
        <f>"515-490-9001"</f>
        <v>515-490-9001</v>
      </c>
      <c r="J143" s="11">
        <v>15</v>
      </c>
      <c r="K143" s="11">
        <v>112</v>
      </c>
      <c r="L143" s="11">
        <v>112</v>
      </c>
      <c r="M143" s="11" t="s">
        <v>3050</v>
      </c>
      <c r="N143" s="14">
        <v>44133</v>
      </c>
      <c r="P143" t="s">
        <v>853</v>
      </c>
      <c r="Q143" t="s">
        <v>854</v>
      </c>
      <c r="R143" t="s">
        <v>855</v>
      </c>
      <c r="T143" t="s">
        <v>856</v>
      </c>
      <c r="U143" t="s">
        <v>18</v>
      </c>
      <c r="V143" s="6" t="s">
        <v>2954</v>
      </c>
      <c r="W143" t="s">
        <v>857</v>
      </c>
      <c r="X143" t="str">
        <f>"563-340-3769"</f>
        <v>563-340-3769</v>
      </c>
      <c r="Y143" t="s">
        <v>151</v>
      </c>
      <c r="Z143" t="s">
        <v>44</v>
      </c>
    </row>
    <row r="144" spans="1:26" x14ac:dyDescent="0.25">
      <c r="A144" t="str">
        <f>"07-37"</f>
        <v>07-37</v>
      </c>
      <c r="C144" t="s">
        <v>2444</v>
      </c>
      <c r="D144" t="s">
        <v>858</v>
      </c>
      <c r="E144" t="s">
        <v>249</v>
      </c>
      <c r="F144" t="s">
        <v>11</v>
      </c>
      <c r="G144" t="s">
        <v>859</v>
      </c>
      <c r="H144" t="s">
        <v>860</v>
      </c>
      <c r="I144" t="str">
        <f>"317-587-0356"</f>
        <v>317-587-0356</v>
      </c>
      <c r="J144" s="11">
        <v>12</v>
      </c>
      <c r="K144" s="11">
        <v>192</v>
      </c>
      <c r="L144" s="11">
        <v>192</v>
      </c>
      <c r="M144" s="11" t="s">
        <v>3050</v>
      </c>
      <c r="N144" s="14">
        <v>43794</v>
      </c>
      <c r="P144" t="s">
        <v>861</v>
      </c>
      <c r="Q144" t="s">
        <v>862</v>
      </c>
      <c r="R144" t="s">
        <v>863</v>
      </c>
      <c r="T144" t="s">
        <v>864</v>
      </c>
      <c r="U144" t="s">
        <v>359</v>
      </c>
      <c r="V144" s="6" t="s">
        <v>2955</v>
      </c>
      <c r="W144" t="s">
        <v>865</v>
      </c>
      <c r="X144" t="str">
        <f>"317-587-0320"</f>
        <v>317-587-0320</v>
      </c>
      <c r="Y144" t="s">
        <v>21</v>
      </c>
      <c r="Z144" t="s">
        <v>20</v>
      </c>
    </row>
    <row r="145" spans="1:26" x14ac:dyDescent="0.25">
      <c r="A145" t="str">
        <f>"08-0901"</f>
        <v>08-0901</v>
      </c>
      <c r="C145" t="s">
        <v>2803</v>
      </c>
      <c r="D145" t="s">
        <v>858</v>
      </c>
      <c r="E145" t="s">
        <v>249</v>
      </c>
      <c r="F145" t="s">
        <v>11</v>
      </c>
      <c r="G145" t="s">
        <v>859</v>
      </c>
      <c r="H145" t="s">
        <v>860</v>
      </c>
      <c r="I145" t="str">
        <f>"317-587-0356"</f>
        <v>317-587-0356</v>
      </c>
      <c r="J145" s="11">
        <v>9</v>
      </c>
      <c r="K145" s="11">
        <v>144</v>
      </c>
      <c r="L145" s="11">
        <v>144</v>
      </c>
      <c r="M145" s="11" t="s">
        <v>3050</v>
      </c>
      <c r="N145" s="14">
        <v>44082</v>
      </c>
      <c r="P145" t="s">
        <v>949</v>
      </c>
      <c r="Q145" t="s">
        <v>862</v>
      </c>
      <c r="R145" t="s">
        <v>863</v>
      </c>
      <c r="T145" t="s">
        <v>864</v>
      </c>
      <c r="U145" t="s">
        <v>359</v>
      </c>
      <c r="V145" s="6" t="s">
        <v>2955</v>
      </c>
      <c r="W145" t="s">
        <v>865</v>
      </c>
      <c r="X145" t="str">
        <f>"317-587-0320"</f>
        <v>317-587-0320</v>
      </c>
      <c r="Y145" t="s">
        <v>21</v>
      </c>
      <c r="Z145" t="s">
        <v>20</v>
      </c>
    </row>
    <row r="146" spans="1:26" x14ac:dyDescent="0.25">
      <c r="A146" t="str">
        <f>"09-0927"</f>
        <v>09-0927</v>
      </c>
      <c r="C146" t="s">
        <v>2484</v>
      </c>
      <c r="D146" t="s">
        <v>1041</v>
      </c>
      <c r="E146" t="s">
        <v>249</v>
      </c>
      <c r="F146" t="s">
        <v>11</v>
      </c>
      <c r="G146" t="s">
        <v>392</v>
      </c>
      <c r="H146" t="s">
        <v>393</v>
      </c>
      <c r="I146" t="str">
        <f>"651-209-0531"</f>
        <v>651-209-0531</v>
      </c>
      <c r="J146" s="11">
        <v>1</v>
      </c>
      <c r="K146" s="11">
        <v>41</v>
      </c>
      <c r="L146" s="11">
        <v>41</v>
      </c>
      <c r="M146" s="11" t="s">
        <v>3050</v>
      </c>
      <c r="N146" s="14">
        <v>44152</v>
      </c>
      <c r="P146" t="s">
        <v>1042</v>
      </c>
      <c r="Q146" t="s">
        <v>395</v>
      </c>
      <c r="R146" t="s">
        <v>396</v>
      </c>
      <c r="S146" t="s">
        <v>100</v>
      </c>
      <c r="T146" t="s">
        <v>30</v>
      </c>
      <c r="U146" t="s">
        <v>31</v>
      </c>
      <c r="V146" s="6" t="s">
        <v>2918</v>
      </c>
      <c r="W146" t="s">
        <v>397</v>
      </c>
      <c r="X146" t="str">
        <f>"651-815-0665"</f>
        <v>651-815-0665</v>
      </c>
      <c r="Y146" t="s">
        <v>21</v>
      </c>
      <c r="Z146" t="s">
        <v>20</v>
      </c>
    </row>
    <row r="147" spans="1:26" x14ac:dyDescent="0.25">
      <c r="A147" t="str">
        <f>"11-11-23"</f>
        <v>11-11-23</v>
      </c>
      <c r="C147" t="s">
        <v>2535</v>
      </c>
      <c r="D147" t="s">
        <v>1295</v>
      </c>
      <c r="E147" t="s">
        <v>249</v>
      </c>
      <c r="F147" t="s">
        <v>11</v>
      </c>
      <c r="G147" t="s">
        <v>392</v>
      </c>
      <c r="H147" t="s">
        <v>393</v>
      </c>
      <c r="I147" t="str">
        <f>"651-209-0531"</f>
        <v>651-209-0531</v>
      </c>
      <c r="J147" s="11">
        <v>2</v>
      </c>
      <c r="K147" s="11">
        <v>48</v>
      </c>
      <c r="L147" s="11">
        <v>44</v>
      </c>
      <c r="M147" s="11" t="s">
        <v>3050</v>
      </c>
      <c r="N147" s="14">
        <v>44102</v>
      </c>
      <c r="P147" t="s">
        <v>1296</v>
      </c>
      <c r="Q147" t="s">
        <v>395</v>
      </c>
      <c r="R147" t="s">
        <v>396</v>
      </c>
      <c r="S147" t="s">
        <v>100</v>
      </c>
      <c r="T147" t="s">
        <v>30</v>
      </c>
      <c r="U147" t="s">
        <v>31</v>
      </c>
      <c r="V147" s="6" t="s">
        <v>2918</v>
      </c>
      <c r="W147" t="s">
        <v>397</v>
      </c>
      <c r="X147" t="str">
        <f>"651-815-0665"</f>
        <v>651-815-0665</v>
      </c>
      <c r="Y147" t="s">
        <v>33</v>
      </c>
      <c r="Z147" t="s">
        <v>20</v>
      </c>
    </row>
    <row r="148" spans="1:26" x14ac:dyDescent="0.25">
      <c r="A148" t="str">
        <f>"12-12-41"</f>
        <v>12-12-41</v>
      </c>
      <c r="C148" t="s">
        <v>2555</v>
      </c>
      <c r="D148" t="s">
        <v>1388</v>
      </c>
      <c r="E148" t="s">
        <v>249</v>
      </c>
      <c r="F148" t="s">
        <v>11</v>
      </c>
      <c r="G148" t="s">
        <v>534</v>
      </c>
      <c r="H148" t="s">
        <v>535</v>
      </c>
      <c r="I148" t="str">
        <f>"612-337-2658"</f>
        <v>612-337-2658</v>
      </c>
      <c r="J148" s="11">
        <v>1</v>
      </c>
      <c r="K148" s="11">
        <v>60</v>
      </c>
      <c r="L148" s="11">
        <v>54</v>
      </c>
      <c r="M148" s="11" t="s">
        <v>3050</v>
      </c>
      <c r="N148" s="14">
        <v>44082</v>
      </c>
      <c r="P148" t="s">
        <v>1389</v>
      </c>
      <c r="Q148" t="s">
        <v>537</v>
      </c>
      <c r="R148" t="s">
        <v>538</v>
      </c>
      <c r="S148" t="s">
        <v>539</v>
      </c>
      <c r="T148" t="s">
        <v>540</v>
      </c>
      <c r="U148" t="s">
        <v>31</v>
      </c>
      <c r="V148" s="6" t="s">
        <v>2929</v>
      </c>
      <c r="W148" t="s">
        <v>541</v>
      </c>
      <c r="X148" t="str">
        <f>"612-332-3000"</f>
        <v>612-332-3000</v>
      </c>
      <c r="Y148" t="s">
        <v>21</v>
      </c>
      <c r="Z148" t="s">
        <v>44</v>
      </c>
    </row>
    <row r="149" spans="1:26" x14ac:dyDescent="0.25">
      <c r="A149" t="s">
        <v>1473</v>
      </c>
      <c r="B149" t="s">
        <v>1473</v>
      </c>
      <c r="C149" t="s">
        <v>2812</v>
      </c>
      <c r="D149" t="s">
        <v>1474</v>
      </c>
      <c r="E149" t="s">
        <v>249</v>
      </c>
      <c r="F149" t="s">
        <v>11</v>
      </c>
      <c r="G149" t="s">
        <v>851</v>
      </c>
      <c r="H149" t="s">
        <v>852</v>
      </c>
      <c r="I149" t="str">
        <f>"515-490-9001"</f>
        <v>515-490-9001</v>
      </c>
      <c r="J149" s="11">
        <v>0</v>
      </c>
      <c r="K149" s="11">
        <v>12</v>
      </c>
      <c r="L149" s="11">
        <v>8</v>
      </c>
      <c r="M149" s="11" t="s">
        <v>3049</v>
      </c>
      <c r="N149" s="14">
        <v>43901</v>
      </c>
      <c r="P149" t="s">
        <v>853</v>
      </c>
      <c r="Q149" t="s">
        <v>854</v>
      </c>
      <c r="R149" t="s">
        <v>855</v>
      </c>
      <c r="T149" t="s">
        <v>856</v>
      </c>
      <c r="U149" t="s">
        <v>18</v>
      </c>
      <c r="V149" s="6" t="s">
        <v>2954</v>
      </c>
      <c r="W149" t="s">
        <v>857</v>
      </c>
      <c r="X149" t="str">
        <f>"563-340-3769"</f>
        <v>563-340-3769</v>
      </c>
      <c r="Y149" t="s">
        <v>151</v>
      </c>
      <c r="Z149" t="s">
        <v>44</v>
      </c>
    </row>
    <row r="150" spans="1:26" x14ac:dyDescent="0.25">
      <c r="A150" t="str">
        <f>"15-15-26"</f>
        <v>15-15-26</v>
      </c>
      <c r="C150" t="s">
        <v>2605</v>
      </c>
      <c r="D150" t="s">
        <v>1608</v>
      </c>
      <c r="E150" t="s">
        <v>249</v>
      </c>
      <c r="F150" t="s">
        <v>11</v>
      </c>
      <c r="G150" t="s">
        <v>870</v>
      </c>
      <c r="H150" t="s">
        <v>871</v>
      </c>
      <c r="I150" t="str">
        <f>"763-354-5518"</f>
        <v>763-354-5518</v>
      </c>
      <c r="J150" s="11">
        <v>11</v>
      </c>
      <c r="K150" s="11">
        <v>96</v>
      </c>
      <c r="L150" s="11">
        <v>96</v>
      </c>
      <c r="M150" s="11" t="s">
        <v>3050</v>
      </c>
      <c r="N150" s="14">
        <v>43335</v>
      </c>
      <c r="P150" t="s">
        <v>1609</v>
      </c>
      <c r="Q150" t="s">
        <v>1610</v>
      </c>
      <c r="R150" t="s">
        <v>874</v>
      </c>
      <c r="S150" t="s">
        <v>875</v>
      </c>
      <c r="T150" t="s">
        <v>379</v>
      </c>
      <c r="U150" t="s">
        <v>31</v>
      </c>
      <c r="V150" s="6" t="s">
        <v>2956</v>
      </c>
      <c r="W150" t="s">
        <v>1611</v>
      </c>
      <c r="X150" t="str">
        <f>"763-354-5500"</f>
        <v>763-354-5500</v>
      </c>
      <c r="Y150" t="s">
        <v>151</v>
      </c>
      <c r="Z150" t="s">
        <v>44</v>
      </c>
    </row>
    <row r="151" spans="1:26" x14ac:dyDescent="0.25">
      <c r="A151" t="str">
        <f>"15-15-3"</f>
        <v>15-15-3</v>
      </c>
      <c r="C151" t="s">
        <v>2606</v>
      </c>
      <c r="D151" t="s">
        <v>1612</v>
      </c>
      <c r="E151" t="s">
        <v>249</v>
      </c>
      <c r="F151" t="s">
        <v>11</v>
      </c>
      <c r="G151" t="s">
        <v>1054</v>
      </c>
      <c r="H151" t="s">
        <v>1055</v>
      </c>
      <c r="I151" t="str">
        <f>"612-886-2491"</f>
        <v>612-886-2491</v>
      </c>
      <c r="J151" s="11">
        <v>1</v>
      </c>
      <c r="K151" s="11">
        <v>48</v>
      </c>
      <c r="L151" s="11">
        <v>45</v>
      </c>
      <c r="M151" s="11" t="s">
        <v>3050</v>
      </c>
      <c r="N151" s="14">
        <v>43167</v>
      </c>
      <c r="P151" t="s">
        <v>1613</v>
      </c>
      <c r="Q151" t="s">
        <v>1057</v>
      </c>
      <c r="R151" t="s">
        <v>1058</v>
      </c>
      <c r="T151" t="s">
        <v>540</v>
      </c>
      <c r="U151" t="s">
        <v>31</v>
      </c>
      <c r="V151" s="6" t="s">
        <v>2966</v>
      </c>
      <c r="W151" t="s">
        <v>1059</v>
      </c>
      <c r="X151" t="str">
        <f>"612-243-4636"</f>
        <v>612-243-4636</v>
      </c>
      <c r="Y151" t="s">
        <v>21</v>
      </c>
      <c r="Z151" t="s">
        <v>44</v>
      </c>
    </row>
    <row r="152" spans="1:26" x14ac:dyDescent="0.25">
      <c r="A152" t="str">
        <f>"96-63"</f>
        <v>96-63</v>
      </c>
      <c r="C152" t="s">
        <v>2719</v>
      </c>
      <c r="D152" t="s">
        <v>2091</v>
      </c>
      <c r="E152" t="s">
        <v>249</v>
      </c>
      <c r="F152" t="s">
        <v>11</v>
      </c>
      <c r="G152" t="s">
        <v>1066</v>
      </c>
      <c r="H152" t="s">
        <v>1067</v>
      </c>
      <c r="I152" t="str">
        <f>"608-354-0900"</f>
        <v>608-354-0900</v>
      </c>
      <c r="J152" s="11">
        <v>1</v>
      </c>
      <c r="K152" s="11">
        <v>45</v>
      </c>
      <c r="L152" s="11">
        <v>45</v>
      </c>
      <c r="M152" s="11" t="s">
        <v>3051</v>
      </c>
      <c r="N152" s="14">
        <v>42591</v>
      </c>
      <c r="P152" t="s">
        <v>2090</v>
      </c>
      <c r="Q152" t="s">
        <v>1981</v>
      </c>
      <c r="R152" t="s">
        <v>1982</v>
      </c>
      <c r="T152" t="s">
        <v>23</v>
      </c>
      <c r="U152" t="s">
        <v>18</v>
      </c>
      <c r="V152" s="6" t="s">
        <v>2925</v>
      </c>
      <c r="W152" t="s">
        <v>1983</v>
      </c>
      <c r="X152" t="str">
        <f>"563-556-2921"</f>
        <v>563-556-2921</v>
      </c>
      <c r="Z152" t="s">
        <v>103</v>
      </c>
    </row>
    <row r="153" spans="1:26" x14ac:dyDescent="0.25">
      <c r="A153" t="str">
        <f>"96-70"</f>
        <v>96-70</v>
      </c>
      <c r="B153" t="s">
        <v>2102</v>
      </c>
      <c r="C153" t="s">
        <v>2723</v>
      </c>
      <c r="D153" t="s">
        <v>2103</v>
      </c>
      <c r="E153" t="s">
        <v>249</v>
      </c>
      <c r="F153" t="s">
        <v>11</v>
      </c>
      <c r="G153" t="s">
        <v>245</v>
      </c>
      <c r="H153" t="s">
        <v>246</v>
      </c>
      <c r="I153" t="str">
        <f>"563-445-7977"</f>
        <v>563-445-7977</v>
      </c>
      <c r="J153" s="11">
        <v>4</v>
      </c>
      <c r="K153" s="11">
        <v>17</v>
      </c>
      <c r="L153" s="11">
        <v>17</v>
      </c>
      <c r="M153" s="11" t="s">
        <v>3051</v>
      </c>
      <c r="N153" s="14">
        <v>42977</v>
      </c>
      <c r="P153" t="s">
        <v>2104</v>
      </c>
      <c r="Q153" t="s">
        <v>2105</v>
      </c>
      <c r="R153" t="s">
        <v>2106</v>
      </c>
      <c r="T153" t="s">
        <v>249</v>
      </c>
      <c r="U153" t="s">
        <v>18</v>
      </c>
      <c r="V153" s="6" t="s">
        <v>2921</v>
      </c>
      <c r="W153" t="s">
        <v>2107</v>
      </c>
      <c r="X153" t="str">
        <f>"563-326-1330"</f>
        <v>563-326-1330</v>
      </c>
      <c r="Y153" t="s">
        <v>21</v>
      </c>
      <c r="Z153" t="s">
        <v>103</v>
      </c>
    </row>
    <row r="154" spans="1:26" x14ac:dyDescent="0.25">
      <c r="A154" t="str">
        <f>"99-08"</f>
        <v>99-08</v>
      </c>
      <c r="C154" t="s">
        <v>2833</v>
      </c>
      <c r="D154" t="s">
        <v>2255</v>
      </c>
      <c r="E154" t="s">
        <v>249</v>
      </c>
      <c r="F154" t="s">
        <v>11</v>
      </c>
      <c r="G154" t="s">
        <v>1066</v>
      </c>
      <c r="H154" t="s">
        <v>1067</v>
      </c>
      <c r="I154" t="str">
        <f>"608-354-0900"</f>
        <v>608-354-0900</v>
      </c>
      <c r="J154" s="11">
        <v>1</v>
      </c>
      <c r="K154" s="11">
        <v>32</v>
      </c>
      <c r="L154" s="11">
        <v>32</v>
      </c>
      <c r="M154" s="11" t="s">
        <v>3051</v>
      </c>
      <c r="N154" s="14">
        <v>43732</v>
      </c>
      <c r="P154" t="s">
        <v>2090</v>
      </c>
      <c r="Q154" t="s">
        <v>1981</v>
      </c>
      <c r="R154" t="s">
        <v>1982</v>
      </c>
      <c r="T154" t="s">
        <v>23</v>
      </c>
      <c r="U154" t="s">
        <v>18</v>
      </c>
      <c r="V154" s="6" t="s">
        <v>2925</v>
      </c>
      <c r="W154" t="s">
        <v>1983</v>
      </c>
      <c r="X154" t="str">
        <f>"563-556-2921"</f>
        <v>563-556-2921</v>
      </c>
      <c r="Y154" t="s">
        <v>21</v>
      </c>
      <c r="Z154" t="s">
        <v>103</v>
      </c>
    </row>
    <row r="155" spans="1:26" x14ac:dyDescent="0.25">
      <c r="A155" t="str">
        <f>"14-14-37"</f>
        <v>14-14-37</v>
      </c>
      <c r="B155" t="s">
        <v>1538</v>
      </c>
      <c r="C155" t="s">
        <v>2589</v>
      </c>
      <c r="D155" t="s">
        <v>1539</v>
      </c>
      <c r="E155" t="s">
        <v>3068</v>
      </c>
      <c r="F155" t="s">
        <v>181</v>
      </c>
      <c r="G155" t="s">
        <v>851</v>
      </c>
      <c r="H155" t="s">
        <v>852</v>
      </c>
      <c r="I155" t="str">
        <f>"515-490-9001"</f>
        <v>515-490-9001</v>
      </c>
      <c r="J155" s="11">
        <v>6</v>
      </c>
      <c r="K155" s="11">
        <v>44</v>
      </c>
      <c r="L155" s="11">
        <v>42</v>
      </c>
      <c r="M155" s="11" t="s">
        <v>3149</v>
      </c>
      <c r="N155" s="14">
        <v>43957</v>
      </c>
      <c r="P155" t="s">
        <v>1540</v>
      </c>
      <c r="Q155" t="s">
        <v>1541</v>
      </c>
      <c r="R155" t="s">
        <v>1539</v>
      </c>
      <c r="T155" t="s">
        <v>1542</v>
      </c>
      <c r="U155" t="s">
        <v>18</v>
      </c>
      <c r="V155" s="6" t="s">
        <v>2997</v>
      </c>
      <c r="W155" t="s">
        <v>1543</v>
      </c>
      <c r="X155" t="str">
        <f>"563-659-5321"</f>
        <v>563-659-5321</v>
      </c>
      <c r="Y155" t="s">
        <v>33</v>
      </c>
      <c r="Z155" t="s">
        <v>44</v>
      </c>
    </row>
    <row r="156" spans="1:26" x14ac:dyDescent="0.25">
      <c r="A156" t="str">
        <f>"95-76"</f>
        <v>95-76</v>
      </c>
      <c r="C156" t="s">
        <v>2713</v>
      </c>
      <c r="D156" t="s">
        <v>2067</v>
      </c>
      <c r="E156" t="s">
        <v>3068</v>
      </c>
      <c r="F156" t="s">
        <v>181</v>
      </c>
      <c r="G156" t="s">
        <v>2068</v>
      </c>
      <c r="H156" t="s">
        <v>2069</v>
      </c>
      <c r="I156" t="str">
        <f>"281-753-6681"</f>
        <v>281-753-6681</v>
      </c>
      <c r="J156" s="11">
        <v>1</v>
      </c>
      <c r="K156" s="11">
        <v>24</v>
      </c>
      <c r="L156" s="11">
        <v>24</v>
      </c>
      <c r="M156" s="11" t="s">
        <v>3051</v>
      </c>
      <c r="N156" s="14">
        <v>43860</v>
      </c>
      <c r="P156" t="s">
        <v>2068</v>
      </c>
      <c r="Q156" t="s">
        <v>2070</v>
      </c>
      <c r="R156" t="s">
        <v>2071</v>
      </c>
      <c r="T156" t="s">
        <v>249</v>
      </c>
      <c r="U156" t="s">
        <v>18</v>
      </c>
      <c r="V156" s="6" t="s">
        <v>3040</v>
      </c>
      <c r="W156" t="s">
        <v>2072</v>
      </c>
      <c r="X156" t="str">
        <f>"563-468-1463"</f>
        <v>563-468-1463</v>
      </c>
      <c r="Z156" t="s">
        <v>103</v>
      </c>
    </row>
    <row r="157" spans="1:26" x14ac:dyDescent="0.25">
      <c r="A157" t="str">
        <f>"96-37"</f>
        <v>96-37</v>
      </c>
      <c r="B157" t="s">
        <v>2083</v>
      </c>
      <c r="C157" t="s">
        <v>2827</v>
      </c>
      <c r="D157" t="s">
        <v>2084</v>
      </c>
      <c r="E157" t="s">
        <v>3068</v>
      </c>
      <c r="F157" t="s">
        <v>181</v>
      </c>
      <c r="G157" t="s">
        <v>2068</v>
      </c>
      <c r="H157" t="s">
        <v>2069</v>
      </c>
      <c r="I157" t="str">
        <f>"281-753-6681"</f>
        <v>281-753-6681</v>
      </c>
      <c r="J157" s="11">
        <v>1</v>
      </c>
      <c r="K157" s="11">
        <v>24</v>
      </c>
      <c r="L157" s="11">
        <v>24</v>
      </c>
      <c r="M157" s="11" t="s">
        <v>3051</v>
      </c>
      <c r="N157" s="14">
        <v>42782</v>
      </c>
      <c r="P157" t="s">
        <v>2068</v>
      </c>
      <c r="Q157" t="s">
        <v>2070</v>
      </c>
      <c r="R157" t="s">
        <v>2071</v>
      </c>
      <c r="T157" t="s">
        <v>249</v>
      </c>
      <c r="U157" t="s">
        <v>18</v>
      </c>
      <c r="V157" s="6" t="s">
        <v>3040</v>
      </c>
      <c r="W157" t="s">
        <v>2072</v>
      </c>
      <c r="X157" t="str">
        <f>"563-468-1463"</f>
        <v>563-468-1463</v>
      </c>
      <c r="Y157" t="s">
        <v>21</v>
      </c>
      <c r="Z157" t="s">
        <v>103</v>
      </c>
    </row>
    <row r="158" spans="1:26" x14ac:dyDescent="0.25">
      <c r="A158" t="str">
        <f>"01-03"</f>
        <v>01-03</v>
      </c>
      <c r="B158" t="s">
        <v>163</v>
      </c>
      <c r="C158" t="s">
        <v>2332</v>
      </c>
      <c r="D158" t="s">
        <v>164</v>
      </c>
      <c r="E158" t="s">
        <v>172</v>
      </c>
      <c r="F158" t="s">
        <v>165</v>
      </c>
      <c r="G158" t="s">
        <v>166</v>
      </c>
      <c r="H158" t="s">
        <v>167</v>
      </c>
      <c r="I158" t="str">
        <f>"563-382-8436"</f>
        <v>563-382-8436</v>
      </c>
      <c r="J158" s="11">
        <v>1</v>
      </c>
      <c r="K158" s="11">
        <v>15</v>
      </c>
      <c r="L158" s="11">
        <v>15</v>
      </c>
      <c r="M158" s="11" t="s">
        <v>3051</v>
      </c>
      <c r="N158" s="14">
        <v>43845</v>
      </c>
      <c r="P158" t="s">
        <v>168</v>
      </c>
      <c r="Q158" t="s">
        <v>169</v>
      </c>
      <c r="R158" t="s">
        <v>170</v>
      </c>
      <c r="S158" t="s">
        <v>171</v>
      </c>
      <c r="T158" t="s">
        <v>172</v>
      </c>
      <c r="U158" t="s">
        <v>18</v>
      </c>
      <c r="V158" s="6" t="s">
        <v>2898</v>
      </c>
      <c r="W158" t="s">
        <v>173</v>
      </c>
      <c r="X158" t="str">
        <f>"563-382-8436"</f>
        <v>563-382-8436</v>
      </c>
      <c r="Y158" t="s">
        <v>33</v>
      </c>
      <c r="Z158" t="s">
        <v>44</v>
      </c>
    </row>
    <row r="159" spans="1:26" x14ac:dyDescent="0.25">
      <c r="A159" t="s">
        <v>651</v>
      </c>
      <c r="B159" t="s">
        <v>651</v>
      </c>
      <c r="C159" t="s">
        <v>2411</v>
      </c>
      <c r="D159" t="s">
        <v>652</v>
      </c>
      <c r="E159" t="s">
        <v>172</v>
      </c>
      <c r="F159" t="s">
        <v>165</v>
      </c>
      <c r="G159" t="s">
        <v>166</v>
      </c>
      <c r="H159" t="s">
        <v>167</v>
      </c>
      <c r="I159" t="str">
        <f>"563-382-8436"</f>
        <v>563-382-8436</v>
      </c>
      <c r="J159" s="11">
        <v>0</v>
      </c>
      <c r="K159" s="11">
        <v>2</v>
      </c>
      <c r="L159" s="11">
        <v>2</v>
      </c>
      <c r="M159" s="11" t="s">
        <v>3050</v>
      </c>
      <c r="N159" s="14">
        <v>43126</v>
      </c>
      <c r="P159" t="s">
        <v>166</v>
      </c>
      <c r="Q159" t="s">
        <v>653</v>
      </c>
      <c r="R159" t="s">
        <v>170</v>
      </c>
      <c r="S159" t="s">
        <v>171</v>
      </c>
      <c r="T159" t="s">
        <v>172</v>
      </c>
      <c r="U159" t="s">
        <v>18</v>
      </c>
      <c r="V159" s="6" t="s">
        <v>2898</v>
      </c>
      <c r="W159" t="s">
        <v>173</v>
      </c>
      <c r="X159" t="str">
        <f>"563-382-8436"</f>
        <v>563-382-8436</v>
      </c>
      <c r="Y159" t="s">
        <v>21</v>
      </c>
      <c r="Z159" t="s">
        <v>44</v>
      </c>
    </row>
    <row r="160" spans="1:26" x14ac:dyDescent="0.25">
      <c r="A160" t="str">
        <f>"97-56"</f>
        <v>97-56</v>
      </c>
      <c r="B160" t="s">
        <v>2133</v>
      </c>
      <c r="C160" t="s">
        <v>2733</v>
      </c>
      <c r="D160" t="s">
        <v>2134</v>
      </c>
      <c r="E160" t="s">
        <v>172</v>
      </c>
      <c r="F160" t="s">
        <v>165</v>
      </c>
      <c r="G160" t="s">
        <v>166</v>
      </c>
      <c r="H160" t="s">
        <v>167</v>
      </c>
      <c r="I160" t="str">
        <f>"563-382-8436"</f>
        <v>563-382-8436</v>
      </c>
      <c r="J160" s="11">
        <v>1</v>
      </c>
      <c r="K160" s="11">
        <v>16</v>
      </c>
      <c r="L160" s="11">
        <v>16</v>
      </c>
      <c r="M160" s="11" t="s">
        <v>3051</v>
      </c>
      <c r="N160" s="14">
        <v>43515</v>
      </c>
      <c r="P160" t="s">
        <v>2135</v>
      </c>
      <c r="Q160" t="s">
        <v>653</v>
      </c>
      <c r="R160" t="s">
        <v>170</v>
      </c>
      <c r="S160" t="s">
        <v>171</v>
      </c>
      <c r="T160" t="s">
        <v>172</v>
      </c>
      <c r="U160" t="s">
        <v>18</v>
      </c>
      <c r="V160" s="6" t="s">
        <v>2898</v>
      </c>
      <c r="W160" t="s">
        <v>173</v>
      </c>
      <c r="X160" t="str">
        <f>"563-382-8436"</f>
        <v>563-382-8436</v>
      </c>
      <c r="Y160" t="s">
        <v>21</v>
      </c>
      <c r="Z160" t="s">
        <v>44</v>
      </c>
    </row>
    <row r="161" spans="1:26" x14ac:dyDescent="0.25">
      <c r="A161" t="str">
        <f>"14-14-28"</f>
        <v>14-14-28</v>
      </c>
      <c r="B161" t="s">
        <v>1510</v>
      </c>
      <c r="C161" t="s">
        <v>2584</v>
      </c>
      <c r="D161" t="s">
        <v>1511</v>
      </c>
      <c r="E161" t="s">
        <v>3069</v>
      </c>
      <c r="F161" t="s">
        <v>1512</v>
      </c>
      <c r="G161" t="s">
        <v>1513</v>
      </c>
      <c r="H161" t="s">
        <v>1514</v>
      </c>
      <c r="I161" t="str">
        <f>"217-243-9826"</f>
        <v>217-243-9826</v>
      </c>
      <c r="J161" s="11">
        <v>16</v>
      </c>
      <c r="K161" s="11">
        <v>50</v>
      </c>
      <c r="L161" s="11">
        <v>42</v>
      </c>
      <c r="M161" s="11" t="s">
        <v>3149</v>
      </c>
      <c r="N161" s="14">
        <v>44067</v>
      </c>
      <c r="P161" t="s">
        <v>1515</v>
      </c>
      <c r="Q161" t="s">
        <v>1516</v>
      </c>
      <c r="R161" t="s">
        <v>1517</v>
      </c>
      <c r="S161" t="s">
        <v>1518</v>
      </c>
      <c r="T161" t="s">
        <v>1519</v>
      </c>
      <c r="U161" t="s">
        <v>454</v>
      </c>
      <c r="V161" s="6" t="s">
        <v>2994</v>
      </c>
      <c r="W161" t="s">
        <v>1520</v>
      </c>
      <c r="X161" t="str">
        <f>"309-678-0822"</f>
        <v>309-678-0822</v>
      </c>
      <c r="Y161" t="s">
        <v>21</v>
      </c>
      <c r="Z161" t="s">
        <v>116</v>
      </c>
    </row>
    <row r="162" spans="1:26" x14ac:dyDescent="0.25">
      <c r="A162" t="str">
        <f>"98-11"</f>
        <v>98-11</v>
      </c>
      <c r="B162" t="s">
        <v>2170</v>
      </c>
      <c r="C162" t="s">
        <v>2744</v>
      </c>
      <c r="D162" t="s">
        <v>2171</v>
      </c>
      <c r="E162" t="s">
        <v>2177</v>
      </c>
      <c r="F162" t="s">
        <v>92</v>
      </c>
      <c r="G162" t="s">
        <v>2172</v>
      </c>
      <c r="H162" t="s">
        <v>2173</v>
      </c>
      <c r="I162" t="str">
        <f>"319-627-2626"</f>
        <v>319-627-2626</v>
      </c>
      <c r="J162" s="11">
        <v>4</v>
      </c>
      <c r="K162" s="11">
        <v>16</v>
      </c>
      <c r="L162" s="11">
        <v>16</v>
      </c>
      <c r="M162" s="11" t="s">
        <v>3051</v>
      </c>
      <c r="N162" s="14">
        <v>44145</v>
      </c>
      <c r="P162" t="s">
        <v>2174</v>
      </c>
      <c r="Q162" t="s">
        <v>2175</v>
      </c>
      <c r="R162" t="s">
        <v>2176</v>
      </c>
      <c r="T162" t="s">
        <v>2177</v>
      </c>
      <c r="U162" t="s">
        <v>18</v>
      </c>
      <c r="V162" s="6" t="s">
        <v>3043</v>
      </c>
      <c r="W162" t="s">
        <v>2178</v>
      </c>
      <c r="X162" t="str">
        <f>"319-528-4536"</f>
        <v>319-528-4536</v>
      </c>
      <c r="Y162" t="s">
        <v>21</v>
      </c>
      <c r="Z162" t="s">
        <v>103</v>
      </c>
    </row>
    <row r="163" spans="1:26" x14ac:dyDescent="0.25">
      <c r="A163" t="str">
        <f>"01-25"</f>
        <v>01-25</v>
      </c>
      <c r="B163" t="s">
        <v>200</v>
      </c>
      <c r="C163" t="s">
        <v>2337</v>
      </c>
      <c r="D163" t="s">
        <v>201</v>
      </c>
      <c r="E163" t="s">
        <v>60</v>
      </c>
      <c r="F163" t="s">
        <v>202</v>
      </c>
      <c r="G163" t="s">
        <v>203</v>
      </c>
      <c r="H163" t="s">
        <v>204</v>
      </c>
      <c r="I163" t="str">
        <f>"515-244-8308"</f>
        <v>515-244-8308</v>
      </c>
      <c r="J163" s="11">
        <v>7</v>
      </c>
      <c r="K163" s="11">
        <v>50</v>
      </c>
      <c r="L163" s="11">
        <v>45</v>
      </c>
      <c r="M163" s="11" t="s">
        <v>3149</v>
      </c>
      <c r="N163" s="14">
        <v>43872</v>
      </c>
      <c r="P163" t="s">
        <v>205</v>
      </c>
      <c r="Q163" t="s">
        <v>206</v>
      </c>
      <c r="R163" t="s">
        <v>207</v>
      </c>
      <c r="S163" t="s">
        <v>208</v>
      </c>
      <c r="T163" t="s">
        <v>60</v>
      </c>
      <c r="U163" t="s">
        <v>18</v>
      </c>
      <c r="V163" s="6" t="s">
        <v>2901</v>
      </c>
      <c r="W163" t="s">
        <v>209</v>
      </c>
      <c r="X163" t="str">
        <f>"515-222-1932"</f>
        <v>515-222-1932</v>
      </c>
      <c r="Y163" t="s">
        <v>21</v>
      </c>
      <c r="Z163" t="s">
        <v>44</v>
      </c>
    </row>
    <row r="164" spans="1:26" x14ac:dyDescent="0.25">
      <c r="A164" t="str">
        <f>"01-33"</f>
        <v>01-33</v>
      </c>
      <c r="C164" t="s">
        <v>2341</v>
      </c>
      <c r="D164" t="s">
        <v>230</v>
      </c>
      <c r="E164" t="s">
        <v>60</v>
      </c>
      <c r="F164" t="s">
        <v>202</v>
      </c>
      <c r="G164" t="s">
        <v>118</v>
      </c>
      <c r="H164" t="s">
        <v>119</v>
      </c>
      <c r="I164" t="str">
        <f>"515-246-8016"</f>
        <v>515-246-8016</v>
      </c>
      <c r="J164" s="11">
        <v>2</v>
      </c>
      <c r="K164" s="11">
        <v>43</v>
      </c>
      <c r="L164" s="11">
        <v>42</v>
      </c>
      <c r="M164" s="11" t="s">
        <v>3051</v>
      </c>
      <c r="N164" s="14">
        <v>43642</v>
      </c>
      <c r="P164" t="s">
        <v>231</v>
      </c>
      <c r="Q164" t="s">
        <v>119</v>
      </c>
      <c r="R164" t="s">
        <v>121</v>
      </c>
      <c r="S164" t="s">
        <v>100</v>
      </c>
      <c r="T164" t="s">
        <v>60</v>
      </c>
      <c r="U164" t="s">
        <v>18</v>
      </c>
      <c r="V164" s="6" t="s">
        <v>2893</v>
      </c>
      <c r="W164" t="s">
        <v>122</v>
      </c>
      <c r="X164" t="str">
        <f>"515-246-8016"</f>
        <v>515-246-8016</v>
      </c>
      <c r="Y164" t="s">
        <v>21</v>
      </c>
      <c r="Z164" t="s">
        <v>103</v>
      </c>
    </row>
    <row r="165" spans="1:26" x14ac:dyDescent="0.25">
      <c r="A165" t="str">
        <f>"01-37"</f>
        <v>01-37</v>
      </c>
      <c r="C165" t="s">
        <v>2838</v>
      </c>
      <c r="D165" t="s">
        <v>232</v>
      </c>
      <c r="E165" t="s">
        <v>60</v>
      </c>
      <c r="F165" t="s">
        <v>202</v>
      </c>
      <c r="G165" t="s">
        <v>203</v>
      </c>
      <c r="H165" t="s">
        <v>204</v>
      </c>
      <c r="I165" t="str">
        <f>"515-244-8308"</f>
        <v>515-244-8308</v>
      </c>
      <c r="J165" s="11">
        <v>9</v>
      </c>
      <c r="K165" s="11">
        <v>15</v>
      </c>
      <c r="L165" s="11">
        <v>15</v>
      </c>
      <c r="M165" s="11" t="s">
        <v>3051</v>
      </c>
      <c r="N165" s="14">
        <v>42906</v>
      </c>
      <c r="P165" t="s">
        <v>233</v>
      </c>
      <c r="Q165" t="s">
        <v>204</v>
      </c>
      <c r="R165" t="s">
        <v>234</v>
      </c>
      <c r="S165" t="s">
        <v>235</v>
      </c>
      <c r="T165" t="s">
        <v>60</v>
      </c>
      <c r="U165" t="s">
        <v>18</v>
      </c>
      <c r="V165" s="6" t="s">
        <v>2904</v>
      </c>
      <c r="W165" t="s">
        <v>236</v>
      </c>
      <c r="X165" t="str">
        <f>"515-244-8308"</f>
        <v>515-244-8308</v>
      </c>
      <c r="Y165" t="s">
        <v>33</v>
      </c>
      <c r="Z165" t="s">
        <v>44</v>
      </c>
    </row>
    <row r="166" spans="1:26" x14ac:dyDescent="0.25">
      <c r="A166" t="str">
        <f>"02-02"</f>
        <v>02-02</v>
      </c>
      <c r="C166" t="s">
        <v>2789</v>
      </c>
      <c r="D166" t="s">
        <v>230</v>
      </c>
      <c r="E166" t="s">
        <v>60</v>
      </c>
      <c r="F166" t="s">
        <v>202</v>
      </c>
      <c r="G166" t="s">
        <v>118</v>
      </c>
      <c r="H166" t="s">
        <v>119</v>
      </c>
      <c r="I166" t="str">
        <f>"515-246-8016"</f>
        <v>515-246-8016</v>
      </c>
      <c r="J166" s="11">
        <v>1</v>
      </c>
      <c r="K166" s="11">
        <v>18</v>
      </c>
      <c r="L166" s="11">
        <v>18</v>
      </c>
      <c r="M166" s="11" t="s">
        <v>3051</v>
      </c>
      <c r="N166" s="14">
        <v>42895</v>
      </c>
      <c r="P166" t="s">
        <v>251</v>
      </c>
      <c r="Q166" t="s">
        <v>119</v>
      </c>
      <c r="R166" t="s">
        <v>121</v>
      </c>
      <c r="S166" t="s">
        <v>100</v>
      </c>
      <c r="T166" t="s">
        <v>60</v>
      </c>
      <c r="U166" t="s">
        <v>18</v>
      </c>
      <c r="V166" s="6" t="s">
        <v>2893</v>
      </c>
      <c r="W166" t="s">
        <v>122</v>
      </c>
      <c r="X166" t="str">
        <f>"515-246-8016"</f>
        <v>515-246-8016</v>
      </c>
      <c r="Y166" t="s">
        <v>21</v>
      </c>
      <c r="Z166" t="s">
        <v>103</v>
      </c>
    </row>
    <row r="167" spans="1:26" x14ac:dyDescent="0.25">
      <c r="A167" t="str">
        <f>"02-04"</f>
        <v>02-04</v>
      </c>
      <c r="C167" t="s">
        <v>2791</v>
      </c>
      <c r="D167" t="s">
        <v>254</v>
      </c>
      <c r="E167" t="s">
        <v>60</v>
      </c>
      <c r="F167" t="s">
        <v>202</v>
      </c>
      <c r="G167" t="s">
        <v>118</v>
      </c>
      <c r="H167" t="s">
        <v>119</v>
      </c>
      <c r="I167" t="str">
        <f>"515-246-8016"</f>
        <v>515-246-8016</v>
      </c>
      <c r="J167" s="11">
        <v>1</v>
      </c>
      <c r="K167" s="11">
        <v>25</v>
      </c>
      <c r="L167" s="11">
        <v>24</v>
      </c>
      <c r="M167" s="11" t="s">
        <v>3051</v>
      </c>
      <c r="N167" s="14">
        <v>42894</v>
      </c>
      <c r="P167" t="s">
        <v>255</v>
      </c>
      <c r="Q167" t="s">
        <v>119</v>
      </c>
      <c r="R167" t="s">
        <v>121</v>
      </c>
      <c r="S167" t="s">
        <v>100</v>
      </c>
      <c r="T167" t="s">
        <v>60</v>
      </c>
      <c r="U167" t="s">
        <v>18</v>
      </c>
      <c r="V167" s="6" t="s">
        <v>2893</v>
      </c>
      <c r="W167" t="s">
        <v>122</v>
      </c>
      <c r="X167" t="str">
        <f>"515-246-8016"</f>
        <v>515-246-8016</v>
      </c>
      <c r="Y167" t="s">
        <v>21</v>
      </c>
      <c r="Z167" t="s">
        <v>103</v>
      </c>
    </row>
    <row r="168" spans="1:26" x14ac:dyDescent="0.25">
      <c r="A168" t="str">
        <f>"02-19"</f>
        <v>02-19</v>
      </c>
      <c r="B168" t="s">
        <v>286</v>
      </c>
      <c r="C168" t="s">
        <v>2347</v>
      </c>
      <c r="D168" t="s">
        <v>287</v>
      </c>
      <c r="E168" t="s">
        <v>60</v>
      </c>
      <c r="F168" t="s">
        <v>202</v>
      </c>
      <c r="G168" t="s">
        <v>288</v>
      </c>
      <c r="H168" t="s">
        <v>289</v>
      </c>
      <c r="I168" t="str">
        <f>"515-314-5481"</f>
        <v>515-314-5481</v>
      </c>
      <c r="J168" s="11">
        <v>1</v>
      </c>
      <c r="K168" s="11">
        <v>56</v>
      </c>
      <c r="L168" s="11">
        <v>16</v>
      </c>
      <c r="M168" s="11" t="s">
        <v>3149</v>
      </c>
      <c r="N168" s="14">
        <v>44021</v>
      </c>
      <c r="P168" t="s">
        <v>290</v>
      </c>
      <c r="Q168" t="s">
        <v>289</v>
      </c>
      <c r="R168" t="s">
        <v>291</v>
      </c>
      <c r="T168" t="s">
        <v>60</v>
      </c>
      <c r="U168" t="s">
        <v>18</v>
      </c>
      <c r="V168" s="6" t="s">
        <v>2908</v>
      </c>
      <c r="W168" t="s">
        <v>2878</v>
      </c>
      <c r="X168" t="str">
        <f>"515-314-5481"</f>
        <v>515-314-5481</v>
      </c>
      <c r="Y168" t="s">
        <v>21</v>
      </c>
      <c r="Z168" t="s">
        <v>116</v>
      </c>
    </row>
    <row r="169" spans="1:26" x14ac:dyDescent="0.25">
      <c r="A169" t="str">
        <f>"02-28"</f>
        <v>02-28</v>
      </c>
      <c r="B169" t="s">
        <v>332</v>
      </c>
      <c r="C169" t="s">
        <v>2352</v>
      </c>
      <c r="D169" t="s">
        <v>333</v>
      </c>
      <c r="E169" t="s">
        <v>60</v>
      </c>
      <c r="F169" t="s">
        <v>202</v>
      </c>
      <c r="G169" t="s">
        <v>107</v>
      </c>
      <c r="H169" t="s">
        <v>108</v>
      </c>
      <c r="I169" t="str">
        <f>"515-313-7306"</f>
        <v>515-313-7306</v>
      </c>
      <c r="J169" s="11">
        <v>1</v>
      </c>
      <c r="K169" s="11">
        <v>40</v>
      </c>
      <c r="L169" s="11">
        <v>38</v>
      </c>
      <c r="M169" s="11" t="s">
        <v>3149</v>
      </c>
      <c r="N169" s="14">
        <v>43902</v>
      </c>
      <c r="P169" t="s">
        <v>334</v>
      </c>
      <c r="Q169" t="s">
        <v>335</v>
      </c>
      <c r="R169" t="s">
        <v>336</v>
      </c>
      <c r="S169" t="s">
        <v>337</v>
      </c>
      <c r="T169" t="s">
        <v>338</v>
      </c>
      <c r="U169" t="s">
        <v>18</v>
      </c>
      <c r="V169" s="6" t="s">
        <v>2913</v>
      </c>
      <c r="W169" t="s">
        <v>339</v>
      </c>
      <c r="X169" t="str">
        <f>"712-546-6003"</f>
        <v>712-546-6003</v>
      </c>
      <c r="Y169" t="s">
        <v>21</v>
      </c>
      <c r="Z169" t="s">
        <v>116</v>
      </c>
    </row>
    <row r="170" spans="1:26" x14ac:dyDescent="0.25">
      <c r="A170" t="str">
        <f>"02-29"</f>
        <v>02-29</v>
      </c>
      <c r="B170" t="s">
        <v>340</v>
      </c>
      <c r="C170" t="s">
        <v>2353</v>
      </c>
      <c r="D170" t="s">
        <v>341</v>
      </c>
      <c r="E170" t="s">
        <v>60</v>
      </c>
      <c r="F170" t="s">
        <v>202</v>
      </c>
      <c r="G170" t="s">
        <v>107</v>
      </c>
      <c r="H170" t="s">
        <v>108</v>
      </c>
      <c r="I170" t="str">
        <f>"515-313-7306"</f>
        <v>515-313-7306</v>
      </c>
      <c r="J170" s="11">
        <v>3</v>
      </c>
      <c r="K170" s="11">
        <v>28</v>
      </c>
      <c r="L170" s="11">
        <v>26</v>
      </c>
      <c r="M170" s="11" t="s">
        <v>3149</v>
      </c>
      <c r="N170" s="14">
        <v>43903</v>
      </c>
      <c r="P170" t="s">
        <v>342</v>
      </c>
      <c r="Q170" t="s">
        <v>335</v>
      </c>
      <c r="R170" t="s">
        <v>336</v>
      </c>
      <c r="S170" t="s">
        <v>337</v>
      </c>
      <c r="T170" t="s">
        <v>338</v>
      </c>
      <c r="U170" t="s">
        <v>18</v>
      </c>
      <c r="V170" s="6" t="s">
        <v>2913</v>
      </c>
      <c r="W170" t="s">
        <v>343</v>
      </c>
      <c r="X170" t="str">
        <f>"712-546-6003"</f>
        <v>712-546-6003</v>
      </c>
      <c r="Y170" t="s">
        <v>21</v>
      </c>
      <c r="Z170" t="s">
        <v>116</v>
      </c>
    </row>
    <row r="171" spans="1:26" x14ac:dyDescent="0.25">
      <c r="A171" t="str">
        <f>"03-01"</f>
        <v>03-01</v>
      </c>
      <c r="C171" t="s">
        <v>2780</v>
      </c>
      <c r="D171" t="s">
        <v>254</v>
      </c>
      <c r="E171" t="s">
        <v>60</v>
      </c>
      <c r="F171" t="s">
        <v>202</v>
      </c>
      <c r="G171" t="s">
        <v>118</v>
      </c>
      <c r="H171" t="s">
        <v>119</v>
      </c>
      <c r="I171" t="str">
        <f>"515-246-8016"</f>
        <v>515-246-8016</v>
      </c>
      <c r="J171" s="11">
        <v>1</v>
      </c>
      <c r="K171" s="11">
        <v>24</v>
      </c>
      <c r="L171" s="11">
        <v>24</v>
      </c>
      <c r="M171" s="11" t="s">
        <v>3051</v>
      </c>
      <c r="N171" s="14">
        <v>42894</v>
      </c>
      <c r="P171" t="s">
        <v>372</v>
      </c>
      <c r="Q171" t="s">
        <v>119</v>
      </c>
      <c r="R171" t="s">
        <v>121</v>
      </c>
      <c r="S171" t="s">
        <v>100</v>
      </c>
      <c r="T171" t="s">
        <v>60</v>
      </c>
      <c r="U171" t="s">
        <v>18</v>
      </c>
      <c r="V171" s="6" t="s">
        <v>2893</v>
      </c>
      <c r="W171" t="s">
        <v>122</v>
      </c>
      <c r="X171" t="str">
        <f>"515-246-8016"</f>
        <v>515-246-8016</v>
      </c>
      <c r="Y171" t="s">
        <v>21</v>
      </c>
      <c r="Z171" t="s">
        <v>103</v>
      </c>
    </row>
    <row r="172" spans="1:26" x14ac:dyDescent="0.25">
      <c r="A172" t="str">
        <f>"03-02"</f>
        <v>03-02</v>
      </c>
      <c r="C172" t="s">
        <v>2781</v>
      </c>
      <c r="D172" t="s">
        <v>373</v>
      </c>
      <c r="E172" t="s">
        <v>60</v>
      </c>
      <c r="F172" t="s">
        <v>202</v>
      </c>
      <c r="G172" t="s">
        <v>118</v>
      </c>
      <c r="H172" t="s">
        <v>119</v>
      </c>
      <c r="I172" t="str">
        <f>"515-246-8016"</f>
        <v>515-246-8016</v>
      </c>
      <c r="J172" s="11">
        <v>2</v>
      </c>
      <c r="K172" s="11">
        <v>54</v>
      </c>
      <c r="L172" s="11">
        <v>54</v>
      </c>
      <c r="M172" s="11" t="s">
        <v>3051</v>
      </c>
      <c r="N172" s="14">
        <v>42893</v>
      </c>
      <c r="P172" t="s">
        <v>374</v>
      </c>
      <c r="Q172" t="s">
        <v>119</v>
      </c>
      <c r="R172" t="s">
        <v>121</v>
      </c>
      <c r="S172" t="s">
        <v>100</v>
      </c>
      <c r="T172" t="s">
        <v>60</v>
      </c>
      <c r="U172" t="s">
        <v>18</v>
      </c>
      <c r="V172" s="6" t="s">
        <v>2893</v>
      </c>
      <c r="W172" t="s">
        <v>122</v>
      </c>
      <c r="X172" t="str">
        <f>"515-246-8016"</f>
        <v>515-246-8016</v>
      </c>
      <c r="Y172" t="s">
        <v>21</v>
      </c>
      <c r="Z172" t="s">
        <v>103</v>
      </c>
    </row>
    <row r="173" spans="1:26" x14ac:dyDescent="0.25">
      <c r="A173" t="str">
        <f>"03-24"</f>
        <v>03-24</v>
      </c>
      <c r="B173" t="s">
        <v>409</v>
      </c>
      <c r="C173" t="s">
        <v>2361</v>
      </c>
      <c r="D173" t="s">
        <v>410</v>
      </c>
      <c r="E173" t="s">
        <v>60</v>
      </c>
      <c r="F173" t="s">
        <v>202</v>
      </c>
      <c r="G173" t="s">
        <v>107</v>
      </c>
      <c r="H173" t="s">
        <v>108</v>
      </c>
      <c r="I173" t="str">
        <f>"515-313-7306"</f>
        <v>515-313-7306</v>
      </c>
      <c r="J173" s="11">
        <v>7</v>
      </c>
      <c r="K173" s="11">
        <v>48</v>
      </c>
      <c r="L173" s="11">
        <v>48</v>
      </c>
      <c r="M173" s="11" t="s">
        <v>3149</v>
      </c>
      <c r="N173" s="14">
        <v>43836</v>
      </c>
      <c r="P173" t="s">
        <v>411</v>
      </c>
      <c r="Q173" t="s">
        <v>145</v>
      </c>
      <c r="R173" t="s">
        <v>146</v>
      </c>
      <c r="T173" t="s">
        <v>147</v>
      </c>
      <c r="U173" t="s">
        <v>18</v>
      </c>
      <c r="V173" s="6" t="s">
        <v>2895</v>
      </c>
      <c r="W173" t="s">
        <v>148</v>
      </c>
      <c r="X173" t="str">
        <f>"712-240-2188"</f>
        <v>712-240-2188</v>
      </c>
      <c r="Y173" t="s">
        <v>21</v>
      </c>
      <c r="Z173" t="s">
        <v>116</v>
      </c>
    </row>
    <row r="174" spans="1:26" x14ac:dyDescent="0.25">
      <c r="A174" t="str">
        <f>"04-23"</f>
        <v>04-23</v>
      </c>
      <c r="B174" t="s">
        <v>483</v>
      </c>
      <c r="C174" t="s">
        <v>2377</v>
      </c>
      <c r="D174" t="s">
        <v>484</v>
      </c>
      <c r="E174" t="s">
        <v>60</v>
      </c>
      <c r="F174" t="s">
        <v>202</v>
      </c>
      <c r="G174" t="s">
        <v>439</v>
      </c>
      <c r="H174" t="s">
        <v>440</v>
      </c>
      <c r="I174" t="str">
        <f>"952-447-2345"</f>
        <v>952-447-2345</v>
      </c>
      <c r="J174" s="11">
        <v>1</v>
      </c>
      <c r="K174" s="11">
        <v>52</v>
      </c>
      <c r="L174" s="11">
        <v>52</v>
      </c>
      <c r="M174" s="11" t="s">
        <v>3149</v>
      </c>
      <c r="N174" s="14">
        <v>44060</v>
      </c>
      <c r="P174" t="s">
        <v>485</v>
      </c>
      <c r="Q174" t="s">
        <v>440</v>
      </c>
      <c r="R174" t="s">
        <v>442</v>
      </c>
      <c r="S174" t="s">
        <v>443</v>
      </c>
      <c r="T174" t="s">
        <v>444</v>
      </c>
      <c r="U174" t="s">
        <v>31</v>
      </c>
      <c r="V174" s="6" t="s">
        <v>2923</v>
      </c>
      <c r="W174" t="s">
        <v>445</v>
      </c>
      <c r="X174" t="str">
        <f>"952-447-2345"</f>
        <v>952-447-2345</v>
      </c>
      <c r="Y174" t="s">
        <v>21</v>
      </c>
      <c r="Z174" t="s">
        <v>44</v>
      </c>
    </row>
    <row r="175" spans="1:26" x14ac:dyDescent="0.25">
      <c r="A175" t="str">
        <f>"04-30"</f>
        <v>04-30</v>
      </c>
      <c r="B175" t="s">
        <v>498</v>
      </c>
      <c r="C175" t="s">
        <v>2380</v>
      </c>
      <c r="D175" t="s">
        <v>499</v>
      </c>
      <c r="E175" t="s">
        <v>60</v>
      </c>
      <c r="F175" t="s">
        <v>202</v>
      </c>
      <c r="G175" t="s">
        <v>288</v>
      </c>
      <c r="H175" t="s">
        <v>289</v>
      </c>
      <c r="I175" t="str">
        <f>"515-314-5481"</f>
        <v>515-314-5481</v>
      </c>
      <c r="J175" s="11">
        <v>1</v>
      </c>
      <c r="K175" s="11">
        <v>115</v>
      </c>
      <c r="L175" s="11">
        <v>51</v>
      </c>
      <c r="M175" s="11" t="s">
        <v>3149</v>
      </c>
      <c r="N175" s="14">
        <v>44021</v>
      </c>
      <c r="P175" t="s">
        <v>500</v>
      </c>
      <c r="Q175" t="s">
        <v>289</v>
      </c>
      <c r="R175" t="s">
        <v>291</v>
      </c>
      <c r="T175" t="s">
        <v>60</v>
      </c>
      <c r="U175" t="s">
        <v>18</v>
      </c>
      <c r="V175" s="6" t="s">
        <v>2908</v>
      </c>
      <c r="W175" t="s">
        <v>2878</v>
      </c>
      <c r="X175" t="str">
        <f>"515-314-5481"</f>
        <v>515-314-5481</v>
      </c>
      <c r="Y175" t="s">
        <v>21</v>
      </c>
      <c r="Z175" t="s">
        <v>116</v>
      </c>
    </row>
    <row r="176" spans="1:26" x14ac:dyDescent="0.25">
      <c r="A176" t="str">
        <f>"04-33"</f>
        <v>04-33</v>
      </c>
      <c r="C176" t="s">
        <v>2381</v>
      </c>
      <c r="D176" t="s">
        <v>501</v>
      </c>
      <c r="E176" t="s">
        <v>60</v>
      </c>
      <c r="F176" t="s">
        <v>202</v>
      </c>
      <c r="G176" t="s">
        <v>78</v>
      </c>
      <c r="H176" t="s">
        <v>79</v>
      </c>
      <c r="I176" t="str">
        <f>"515-225-4782"</f>
        <v>515-225-4782</v>
      </c>
      <c r="J176" s="11">
        <v>1</v>
      </c>
      <c r="K176" s="11">
        <v>60</v>
      </c>
      <c r="L176" s="11">
        <v>60</v>
      </c>
      <c r="M176" s="11" t="s">
        <v>3050</v>
      </c>
      <c r="N176" s="14">
        <v>44098</v>
      </c>
      <c r="P176" t="s">
        <v>502</v>
      </c>
      <c r="Q176" t="s">
        <v>81</v>
      </c>
      <c r="R176" t="s">
        <v>82</v>
      </c>
      <c r="S176" t="s">
        <v>83</v>
      </c>
      <c r="T176" t="s">
        <v>84</v>
      </c>
      <c r="U176" t="s">
        <v>18</v>
      </c>
      <c r="V176" s="6" t="s">
        <v>2890</v>
      </c>
      <c r="W176" t="s">
        <v>85</v>
      </c>
      <c r="X176" t="str">
        <f>"319-338-7600"</f>
        <v>319-338-7600</v>
      </c>
      <c r="Y176" t="s">
        <v>21</v>
      </c>
      <c r="Z176" t="s">
        <v>62</v>
      </c>
    </row>
    <row r="177" spans="1:26" x14ac:dyDescent="0.25">
      <c r="A177" t="str">
        <f>"04-46"</f>
        <v>04-46</v>
      </c>
      <c r="C177" t="s">
        <v>2388</v>
      </c>
      <c r="D177" t="s">
        <v>523</v>
      </c>
      <c r="E177" t="s">
        <v>60</v>
      </c>
      <c r="F177" t="s">
        <v>202</v>
      </c>
      <c r="G177" t="s">
        <v>524</v>
      </c>
      <c r="H177" t="s">
        <v>525</v>
      </c>
      <c r="I177" t="str">
        <f>"515-280-2071"</f>
        <v>515-280-2071</v>
      </c>
      <c r="J177" s="11">
        <v>1</v>
      </c>
      <c r="K177" s="11">
        <v>73</v>
      </c>
      <c r="L177" s="11">
        <v>72</v>
      </c>
      <c r="M177" s="11" t="s">
        <v>3051</v>
      </c>
      <c r="N177" s="14">
        <v>43747</v>
      </c>
      <c r="P177" t="s">
        <v>526</v>
      </c>
      <c r="Q177" t="s">
        <v>527</v>
      </c>
      <c r="R177" t="s">
        <v>528</v>
      </c>
      <c r="T177" t="s">
        <v>17</v>
      </c>
      <c r="U177" t="s">
        <v>18</v>
      </c>
      <c r="V177" s="6" t="s">
        <v>2928</v>
      </c>
      <c r="W177" t="s">
        <v>529</v>
      </c>
      <c r="X177" t="str">
        <f>"515-280-2053"</f>
        <v>515-280-2053</v>
      </c>
      <c r="Y177" t="s">
        <v>33</v>
      </c>
      <c r="Z177" t="s">
        <v>116</v>
      </c>
    </row>
    <row r="178" spans="1:26" x14ac:dyDescent="0.25">
      <c r="A178" t="str">
        <f>"04-47"</f>
        <v>04-47</v>
      </c>
      <c r="C178" t="s">
        <v>2389</v>
      </c>
      <c r="D178" t="s">
        <v>530</v>
      </c>
      <c r="E178" t="s">
        <v>60</v>
      </c>
      <c r="F178" t="s">
        <v>202</v>
      </c>
      <c r="G178" t="s">
        <v>524</v>
      </c>
      <c r="H178" t="s">
        <v>525</v>
      </c>
      <c r="I178" t="str">
        <f>"515-280-2071"</f>
        <v>515-280-2071</v>
      </c>
      <c r="J178" s="11">
        <v>1</v>
      </c>
      <c r="K178" s="11">
        <v>51</v>
      </c>
      <c r="L178" s="11">
        <v>26</v>
      </c>
      <c r="M178" s="11" t="s">
        <v>3050</v>
      </c>
      <c r="N178" s="14">
        <v>43693</v>
      </c>
      <c r="P178" t="s">
        <v>531</v>
      </c>
      <c r="Q178" t="s">
        <v>527</v>
      </c>
      <c r="R178" t="s">
        <v>528</v>
      </c>
      <c r="T178" t="s">
        <v>17</v>
      </c>
      <c r="U178" t="s">
        <v>18</v>
      </c>
      <c r="V178" s="6" t="s">
        <v>2928</v>
      </c>
      <c r="W178" t="s">
        <v>529</v>
      </c>
      <c r="X178" t="str">
        <f>"515-280-2053"</f>
        <v>515-280-2053</v>
      </c>
      <c r="Y178" t="s">
        <v>33</v>
      </c>
      <c r="Z178" t="s">
        <v>116</v>
      </c>
    </row>
    <row r="179" spans="1:26" x14ac:dyDescent="0.25">
      <c r="A179" t="str">
        <f>"04-49"</f>
        <v>04-49</v>
      </c>
      <c r="B179" t="s">
        <v>532</v>
      </c>
      <c r="C179" t="s">
        <v>2390</v>
      </c>
      <c r="D179" t="s">
        <v>533</v>
      </c>
      <c r="E179" t="s">
        <v>60</v>
      </c>
      <c r="F179" t="s">
        <v>202</v>
      </c>
      <c r="G179" t="s">
        <v>534</v>
      </c>
      <c r="H179" t="s">
        <v>535</v>
      </c>
      <c r="I179" t="str">
        <f>"612-337-2658"</f>
        <v>612-337-2658</v>
      </c>
      <c r="J179" s="11">
        <v>1</v>
      </c>
      <c r="K179" s="11">
        <v>109</v>
      </c>
      <c r="L179" s="11">
        <v>44</v>
      </c>
      <c r="M179" s="11" t="s">
        <v>3149</v>
      </c>
      <c r="N179" s="14">
        <v>44032</v>
      </c>
      <c r="P179" t="s">
        <v>536</v>
      </c>
      <c r="Q179" t="s">
        <v>537</v>
      </c>
      <c r="R179" t="s">
        <v>538</v>
      </c>
      <c r="S179" t="s">
        <v>539</v>
      </c>
      <c r="T179" t="s">
        <v>540</v>
      </c>
      <c r="U179" t="s">
        <v>31</v>
      </c>
      <c r="V179" s="6" t="s">
        <v>2929</v>
      </c>
      <c r="W179" t="s">
        <v>541</v>
      </c>
      <c r="X179" t="str">
        <f>"612-332-3000"</f>
        <v>612-332-3000</v>
      </c>
      <c r="Y179" t="s">
        <v>21</v>
      </c>
      <c r="Z179" t="s">
        <v>44</v>
      </c>
    </row>
    <row r="180" spans="1:26" x14ac:dyDescent="0.25">
      <c r="A180" t="str">
        <f>"05-01"</f>
        <v>05-01</v>
      </c>
      <c r="C180" t="s">
        <v>2865</v>
      </c>
      <c r="D180" t="s">
        <v>373</v>
      </c>
      <c r="E180" t="s">
        <v>60</v>
      </c>
      <c r="F180" t="s">
        <v>202</v>
      </c>
      <c r="G180" t="s">
        <v>118</v>
      </c>
      <c r="H180" t="s">
        <v>119</v>
      </c>
      <c r="I180" t="str">
        <f>"515-246-8016"</f>
        <v>515-246-8016</v>
      </c>
      <c r="J180" s="11">
        <v>1</v>
      </c>
      <c r="K180" s="11">
        <v>30</v>
      </c>
      <c r="L180" s="11">
        <v>30</v>
      </c>
      <c r="M180" s="11" t="s">
        <v>3051</v>
      </c>
      <c r="N180" s="14">
        <v>44011</v>
      </c>
      <c r="P180" t="s">
        <v>2866</v>
      </c>
      <c r="Q180" t="s">
        <v>119</v>
      </c>
      <c r="R180" t="s">
        <v>121</v>
      </c>
      <c r="S180" t="s">
        <v>100</v>
      </c>
      <c r="T180" t="s">
        <v>60</v>
      </c>
      <c r="U180" t="s">
        <v>18</v>
      </c>
      <c r="V180" s="6" t="s">
        <v>2893</v>
      </c>
      <c r="W180" t="s">
        <v>122</v>
      </c>
      <c r="X180" t="str">
        <f>"515-246-8016"</f>
        <v>515-246-8016</v>
      </c>
      <c r="Y180" t="s">
        <v>21</v>
      </c>
      <c r="Z180" t="s">
        <v>103</v>
      </c>
    </row>
    <row r="181" spans="1:26" x14ac:dyDescent="0.25">
      <c r="A181" t="str">
        <f>"05-03"</f>
        <v>05-03</v>
      </c>
      <c r="C181" t="s">
        <v>2867</v>
      </c>
      <c r="D181" t="s">
        <v>254</v>
      </c>
      <c r="E181" t="s">
        <v>60</v>
      </c>
      <c r="F181" t="s">
        <v>202</v>
      </c>
      <c r="G181" t="s">
        <v>118</v>
      </c>
      <c r="H181" t="s">
        <v>119</v>
      </c>
      <c r="I181" t="str">
        <f>"515-246-8016"</f>
        <v>515-246-8016</v>
      </c>
      <c r="J181" s="11">
        <v>2</v>
      </c>
      <c r="K181" s="11">
        <v>60</v>
      </c>
      <c r="L181" s="11">
        <v>60</v>
      </c>
      <c r="M181" s="11" t="s">
        <v>3051</v>
      </c>
      <c r="N181" s="14">
        <v>44006</v>
      </c>
      <c r="P181" t="s">
        <v>2868</v>
      </c>
      <c r="Q181" t="s">
        <v>119</v>
      </c>
      <c r="R181" t="s">
        <v>121</v>
      </c>
      <c r="S181" t="s">
        <v>100</v>
      </c>
      <c r="T181" t="s">
        <v>60</v>
      </c>
      <c r="U181" t="s">
        <v>18</v>
      </c>
      <c r="V181" s="6" t="s">
        <v>2893</v>
      </c>
      <c r="W181" t="s">
        <v>122</v>
      </c>
      <c r="X181" t="str">
        <f>"515-246-8016"</f>
        <v>515-246-8016</v>
      </c>
      <c r="Y181" t="s">
        <v>21</v>
      </c>
      <c r="Z181" t="s">
        <v>103</v>
      </c>
    </row>
    <row r="182" spans="1:26" x14ac:dyDescent="0.25">
      <c r="A182" t="str">
        <f>"05-30"</f>
        <v>05-30</v>
      </c>
      <c r="C182" t="s">
        <v>2400</v>
      </c>
      <c r="D182" t="s">
        <v>607</v>
      </c>
      <c r="E182" t="s">
        <v>60</v>
      </c>
      <c r="F182" t="s">
        <v>202</v>
      </c>
      <c r="G182" t="s">
        <v>524</v>
      </c>
      <c r="H182" t="s">
        <v>525</v>
      </c>
      <c r="I182" t="str">
        <f>"515-280-2071"</f>
        <v>515-280-2071</v>
      </c>
      <c r="J182" s="11">
        <v>1</v>
      </c>
      <c r="K182" s="11">
        <v>52</v>
      </c>
      <c r="L182" s="11">
        <v>27</v>
      </c>
      <c r="M182" s="11" t="s">
        <v>3050</v>
      </c>
      <c r="N182" s="14">
        <v>43299</v>
      </c>
      <c r="P182" t="s">
        <v>608</v>
      </c>
      <c r="Q182" t="s">
        <v>527</v>
      </c>
      <c r="R182" t="s">
        <v>528</v>
      </c>
      <c r="T182" t="s">
        <v>17</v>
      </c>
      <c r="U182" t="s">
        <v>18</v>
      </c>
      <c r="V182" s="6" t="s">
        <v>2928</v>
      </c>
      <c r="W182" t="s">
        <v>529</v>
      </c>
      <c r="X182" t="str">
        <f>"515-280-2053"</f>
        <v>515-280-2053</v>
      </c>
      <c r="Y182" t="s">
        <v>21</v>
      </c>
      <c r="Z182" t="s">
        <v>116</v>
      </c>
    </row>
    <row r="183" spans="1:26" x14ac:dyDescent="0.25">
      <c r="A183" t="str">
        <f>"06-03"</f>
        <v>06-03</v>
      </c>
      <c r="C183" t="s">
        <v>2416</v>
      </c>
      <c r="D183" t="s">
        <v>679</v>
      </c>
      <c r="E183" t="s">
        <v>60</v>
      </c>
      <c r="F183" t="s">
        <v>202</v>
      </c>
      <c r="G183" t="s">
        <v>24</v>
      </c>
      <c r="H183" t="s">
        <v>25</v>
      </c>
      <c r="I183" t="str">
        <f>"319-415-7610"</f>
        <v>319-415-7610</v>
      </c>
      <c r="J183" s="11">
        <v>1</v>
      </c>
      <c r="K183" s="11">
        <v>43</v>
      </c>
      <c r="L183" s="11">
        <v>43</v>
      </c>
      <c r="M183" s="11" t="s">
        <v>3050</v>
      </c>
      <c r="N183" s="14">
        <v>43836</v>
      </c>
      <c r="P183" t="s">
        <v>680</v>
      </c>
      <c r="Q183" t="s">
        <v>27</v>
      </c>
      <c r="R183" t="s">
        <v>28</v>
      </c>
      <c r="S183" t="s">
        <v>29</v>
      </c>
      <c r="T183" t="s">
        <v>30</v>
      </c>
      <c r="U183" t="s">
        <v>31</v>
      </c>
      <c r="V183" s="6" t="s">
        <v>2885</v>
      </c>
      <c r="W183" t="s">
        <v>32</v>
      </c>
      <c r="X183" t="str">
        <f>"314-307-1035"</f>
        <v>314-307-1035</v>
      </c>
      <c r="Y183" t="s">
        <v>33</v>
      </c>
      <c r="Z183" t="s">
        <v>20</v>
      </c>
    </row>
    <row r="184" spans="1:26" x14ac:dyDescent="0.25">
      <c r="A184" t="str">
        <f>"06-16"</f>
        <v>06-16</v>
      </c>
      <c r="C184" t="s">
        <v>2422</v>
      </c>
      <c r="D184" t="s">
        <v>701</v>
      </c>
      <c r="E184" t="s">
        <v>60</v>
      </c>
      <c r="F184" t="s">
        <v>202</v>
      </c>
      <c r="G184" t="s">
        <v>118</v>
      </c>
      <c r="H184" t="s">
        <v>119</v>
      </c>
      <c r="I184" t="str">
        <f>"515-246-8016"</f>
        <v>515-246-8016</v>
      </c>
      <c r="J184" s="11">
        <v>1</v>
      </c>
      <c r="K184" s="11">
        <v>36</v>
      </c>
      <c r="L184" s="11">
        <v>35</v>
      </c>
      <c r="M184" s="11" t="s">
        <v>3050</v>
      </c>
      <c r="N184" s="14">
        <v>43299</v>
      </c>
      <c r="P184" t="s">
        <v>702</v>
      </c>
      <c r="Q184" t="s">
        <v>119</v>
      </c>
      <c r="R184" t="s">
        <v>121</v>
      </c>
      <c r="S184" t="s">
        <v>100</v>
      </c>
      <c r="T184" t="s">
        <v>60</v>
      </c>
      <c r="U184" t="s">
        <v>18</v>
      </c>
      <c r="V184" s="6" t="s">
        <v>2893</v>
      </c>
      <c r="W184" t="s">
        <v>122</v>
      </c>
      <c r="X184" t="str">
        <f>"515-246-8016"</f>
        <v>515-246-8016</v>
      </c>
      <c r="Y184" t="s">
        <v>151</v>
      </c>
      <c r="Z184" t="s">
        <v>103</v>
      </c>
    </row>
    <row r="185" spans="1:26" x14ac:dyDescent="0.25">
      <c r="A185" t="str">
        <f>"06-21"</f>
        <v>06-21</v>
      </c>
      <c r="B185" t="s">
        <v>717</v>
      </c>
      <c r="C185" t="s">
        <v>2425</v>
      </c>
      <c r="D185" t="s">
        <v>718</v>
      </c>
      <c r="E185" t="s">
        <v>60</v>
      </c>
      <c r="F185" t="s">
        <v>202</v>
      </c>
      <c r="G185" t="s">
        <v>203</v>
      </c>
      <c r="H185" t="s">
        <v>204</v>
      </c>
      <c r="I185" t="str">
        <f>"515-244-8308"</f>
        <v>515-244-8308</v>
      </c>
      <c r="J185" s="11">
        <v>33</v>
      </c>
      <c r="K185" s="11">
        <v>67</v>
      </c>
      <c r="L185" s="11">
        <v>66</v>
      </c>
      <c r="M185" s="11" t="s">
        <v>3050</v>
      </c>
      <c r="N185" s="14">
        <v>43186</v>
      </c>
      <c r="P185" t="s">
        <v>719</v>
      </c>
      <c r="Q185" t="s">
        <v>204</v>
      </c>
      <c r="R185" t="s">
        <v>234</v>
      </c>
      <c r="S185" t="s">
        <v>235</v>
      </c>
      <c r="T185" t="s">
        <v>60</v>
      </c>
      <c r="U185" t="s">
        <v>18</v>
      </c>
      <c r="V185" s="6" t="s">
        <v>2904</v>
      </c>
      <c r="W185" t="s">
        <v>236</v>
      </c>
      <c r="X185" t="str">
        <f>"515-244-8308"</f>
        <v>515-244-8308</v>
      </c>
      <c r="Y185" t="s">
        <v>151</v>
      </c>
      <c r="Z185" t="s">
        <v>44</v>
      </c>
    </row>
    <row r="186" spans="1:26" x14ac:dyDescent="0.25">
      <c r="A186" t="str">
        <f>"07-07"</f>
        <v>07-07</v>
      </c>
      <c r="C186" t="s">
        <v>2435</v>
      </c>
      <c r="D186" t="s">
        <v>805</v>
      </c>
      <c r="E186" t="s">
        <v>60</v>
      </c>
      <c r="F186" t="s">
        <v>202</v>
      </c>
      <c r="G186" t="s">
        <v>118</v>
      </c>
      <c r="H186" t="s">
        <v>119</v>
      </c>
      <c r="I186" t="str">
        <f>"515-246-8016"</f>
        <v>515-246-8016</v>
      </c>
      <c r="J186" s="11">
        <v>3</v>
      </c>
      <c r="K186" s="11">
        <v>71</v>
      </c>
      <c r="L186" s="11">
        <v>71</v>
      </c>
      <c r="M186" s="11" t="s">
        <v>3050</v>
      </c>
      <c r="N186" s="14">
        <v>44006</v>
      </c>
      <c r="P186" t="s">
        <v>118</v>
      </c>
      <c r="Q186" t="s">
        <v>119</v>
      </c>
      <c r="R186" t="s">
        <v>121</v>
      </c>
      <c r="S186" t="s">
        <v>100</v>
      </c>
      <c r="T186" t="s">
        <v>60</v>
      </c>
      <c r="U186" t="s">
        <v>18</v>
      </c>
      <c r="V186" s="6" t="s">
        <v>2893</v>
      </c>
      <c r="W186" t="s">
        <v>122</v>
      </c>
      <c r="X186" t="str">
        <f>"515-246-8016"</f>
        <v>515-246-8016</v>
      </c>
      <c r="Y186" t="s">
        <v>21</v>
      </c>
      <c r="Z186" t="s">
        <v>103</v>
      </c>
    </row>
    <row r="187" spans="1:26" x14ac:dyDescent="0.25">
      <c r="A187" t="str">
        <f>"07-17"</f>
        <v>07-17</v>
      </c>
      <c r="C187" t="s">
        <v>2438</v>
      </c>
      <c r="D187" t="s">
        <v>827</v>
      </c>
      <c r="E187" t="s">
        <v>60</v>
      </c>
      <c r="F187" t="s">
        <v>202</v>
      </c>
      <c r="G187" t="s">
        <v>439</v>
      </c>
      <c r="H187" t="s">
        <v>440</v>
      </c>
      <c r="I187" t="str">
        <f>"952-447-2345"</f>
        <v>952-447-2345</v>
      </c>
      <c r="J187" s="11">
        <v>1</v>
      </c>
      <c r="K187" s="11">
        <v>64</v>
      </c>
      <c r="L187" s="11">
        <v>64</v>
      </c>
      <c r="M187" s="11" t="s">
        <v>3050</v>
      </c>
      <c r="N187" s="14">
        <v>43803</v>
      </c>
      <c r="P187" t="s">
        <v>828</v>
      </c>
      <c r="Q187" t="s">
        <v>440</v>
      </c>
      <c r="R187" t="s">
        <v>442</v>
      </c>
      <c r="S187" t="s">
        <v>443</v>
      </c>
      <c r="T187" t="s">
        <v>444</v>
      </c>
      <c r="U187" t="s">
        <v>31</v>
      </c>
      <c r="V187" s="6" t="s">
        <v>2923</v>
      </c>
      <c r="W187" t="s">
        <v>445</v>
      </c>
      <c r="X187" t="str">
        <f>"952-447-2345"</f>
        <v>952-447-2345</v>
      </c>
      <c r="Y187" t="s">
        <v>21</v>
      </c>
      <c r="Z187" t="s">
        <v>44</v>
      </c>
    </row>
    <row r="188" spans="1:26" x14ac:dyDescent="0.25">
      <c r="A188" t="str">
        <f>"07-27"</f>
        <v>07-27</v>
      </c>
      <c r="C188" t="s">
        <v>2439</v>
      </c>
      <c r="D188" t="s">
        <v>831</v>
      </c>
      <c r="E188" t="s">
        <v>60</v>
      </c>
      <c r="F188" t="s">
        <v>202</v>
      </c>
      <c r="G188" t="s">
        <v>288</v>
      </c>
      <c r="H188" t="s">
        <v>289</v>
      </c>
      <c r="I188" t="str">
        <f>"515-314-5481"</f>
        <v>515-314-5481</v>
      </c>
      <c r="J188" s="11">
        <v>1</v>
      </c>
      <c r="K188" s="11">
        <v>42</v>
      </c>
      <c r="L188" s="11">
        <v>42</v>
      </c>
      <c r="M188" s="11" t="s">
        <v>3050</v>
      </c>
      <c r="N188" s="14">
        <v>43507</v>
      </c>
      <c r="P188" t="s">
        <v>832</v>
      </c>
      <c r="Q188" t="s">
        <v>289</v>
      </c>
      <c r="R188" t="s">
        <v>291</v>
      </c>
      <c r="T188" t="s">
        <v>60</v>
      </c>
      <c r="U188" t="s">
        <v>18</v>
      </c>
      <c r="V188" s="6" t="s">
        <v>2951</v>
      </c>
      <c r="W188" t="s">
        <v>2878</v>
      </c>
      <c r="X188" t="str">
        <f>"515-314-5481"</f>
        <v>515-314-5481</v>
      </c>
      <c r="Y188" t="s">
        <v>21</v>
      </c>
      <c r="Z188" t="s">
        <v>116</v>
      </c>
    </row>
    <row r="189" spans="1:26" x14ac:dyDescent="0.25">
      <c r="A189" t="str">
        <f>"07-28"</f>
        <v>07-28</v>
      </c>
      <c r="C189" t="s">
        <v>2440</v>
      </c>
      <c r="D189" t="s">
        <v>833</v>
      </c>
      <c r="E189" t="s">
        <v>60</v>
      </c>
      <c r="F189" t="s">
        <v>202</v>
      </c>
      <c r="G189" t="s">
        <v>834</v>
      </c>
      <c r="H189" t="s">
        <v>835</v>
      </c>
      <c r="I189" t="str">
        <f>"515-707-2619"</f>
        <v>515-707-2619</v>
      </c>
      <c r="J189" s="11">
        <v>1</v>
      </c>
      <c r="K189" s="11">
        <v>40</v>
      </c>
      <c r="L189" s="11">
        <v>40</v>
      </c>
      <c r="M189" s="11" t="s">
        <v>3050</v>
      </c>
      <c r="N189" s="14">
        <v>43864</v>
      </c>
      <c r="P189" t="s">
        <v>836</v>
      </c>
      <c r="Q189" t="s">
        <v>837</v>
      </c>
      <c r="R189" t="s">
        <v>838</v>
      </c>
      <c r="T189" t="s">
        <v>60</v>
      </c>
      <c r="U189" t="s">
        <v>18</v>
      </c>
      <c r="V189" s="6" t="s">
        <v>2952</v>
      </c>
      <c r="W189" t="s">
        <v>839</v>
      </c>
      <c r="X189" t="str">
        <f>"515-554-9773"</f>
        <v>515-554-9773</v>
      </c>
      <c r="Y189" t="s">
        <v>21</v>
      </c>
      <c r="Z189" t="s">
        <v>20</v>
      </c>
    </row>
    <row r="190" spans="1:26" x14ac:dyDescent="0.25">
      <c r="A190" t="str">
        <f>"07-30"</f>
        <v>07-30</v>
      </c>
      <c r="C190" t="s">
        <v>2441</v>
      </c>
      <c r="D190" t="s">
        <v>840</v>
      </c>
      <c r="E190" t="s">
        <v>60</v>
      </c>
      <c r="F190" t="s">
        <v>202</v>
      </c>
      <c r="G190" t="s">
        <v>55</v>
      </c>
      <c r="H190" t="s">
        <v>56</v>
      </c>
      <c r="I190" t="str">
        <f>"712-262-5965"</f>
        <v>712-262-5965</v>
      </c>
      <c r="J190" s="11">
        <v>7</v>
      </c>
      <c r="K190" s="11">
        <v>18</v>
      </c>
      <c r="L190" s="11">
        <v>18</v>
      </c>
      <c r="M190" s="11" t="s">
        <v>3050</v>
      </c>
      <c r="N190" s="14">
        <v>43272</v>
      </c>
      <c r="P190" t="s">
        <v>841</v>
      </c>
      <c r="Q190" t="s">
        <v>58</v>
      </c>
      <c r="R190" t="s">
        <v>59</v>
      </c>
      <c r="T190" t="s">
        <v>60</v>
      </c>
      <c r="U190" t="s">
        <v>18</v>
      </c>
      <c r="V190" s="6" t="s">
        <v>2888</v>
      </c>
      <c r="W190" t="s">
        <v>61</v>
      </c>
      <c r="X190" t="str">
        <f>"515-262-5965"</f>
        <v>515-262-5965</v>
      </c>
      <c r="Y190" t="s">
        <v>33</v>
      </c>
      <c r="Z190" t="s">
        <v>62</v>
      </c>
    </row>
    <row r="191" spans="1:26" x14ac:dyDescent="0.25">
      <c r="A191" t="str">
        <f>"07-38"</f>
        <v>07-38</v>
      </c>
      <c r="C191" t="s">
        <v>2445</v>
      </c>
      <c r="D191" t="s">
        <v>866</v>
      </c>
      <c r="E191" t="s">
        <v>60</v>
      </c>
      <c r="F191" t="s">
        <v>202</v>
      </c>
      <c r="G191" t="s">
        <v>118</v>
      </c>
      <c r="H191" t="s">
        <v>119</v>
      </c>
      <c r="I191" t="str">
        <f>"515-246-8016"</f>
        <v>515-246-8016</v>
      </c>
      <c r="J191" s="11">
        <v>22</v>
      </c>
      <c r="K191" s="11">
        <v>233</v>
      </c>
      <c r="L191" s="11">
        <v>232</v>
      </c>
      <c r="M191" s="11" t="s">
        <v>3050</v>
      </c>
      <c r="N191" s="14">
        <v>43774</v>
      </c>
      <c r="P191" t="s">
        <v>118</v>
      </c>
      <c r="Q191" t="s">
        <v>119</v>
      </c>
      <c r="R191" t="s">
        <v>121</v>
      </c>
      <c r="S191" t="s">
        <v>100</v>
      </c>
      <c r="T191" t="s">
        <v>60</v>
      </c>
      <c r="U191" t="s">
        <v>18</v>
      </c>
      <c r="V191" s="6" t="s">
        <v>2893</v>
      </c>
      <c r="W191" t="s">
        <v>122</v>
      </c>
      <c r="X191" t="str">
        <f>"515-246-8016"</f>
        <v>515-246-8016</v>
      </c>
      <c r="Y191" t="s">
        <v>151</v>
      </c>
      <c r="Z191" t="s">
        <v>103</v>
      </c>
    </row>
    <row r="192" spans="1:26" x14ac:dyDescent="0.25">
      <c r="A192" t="str">
        <f>"08-03"</f>
        <v>08-03</v>
      </c>
      <c r="C192" t="s">
        <v>2802</v>
      </c>
      <c r="D192" t="s">
        <v>932</v>
      </c>
      <c r="E192" t="s">
        <v>60</v>
      </c>
      <c r="F192" t="s">
        <v>202</v>
      </c>
      <c r="G192" t="s">
        <v>118</v>
      </c>
      <c r="H192" t="s">
        <v>119</v>
      </c>
      <c r="I192" t="str">
        <f>"515-246-8016"</f>
        <v>515-246-8016</v>
      </c>
      <c r="J192" s="11">
        <v>1</v>
      </c>
      <c r="K192" s="11">
        <v>24</v>
      </c>
      <c r="L192" s="11">
        <v>24</v>
      </c>
      <c r="M192" s="11" t="s">
        <v>3050</v>
      </c>
      <c r="N192" s="14">
        <v>43747</v>
      </c>
      <c r="P192" t="s">
        <v>933</v>
      </c>
      <c r="Q192" t="s">
        <v>119</v>
      </c>
      <c r="R192" t="s">
        <v>121</v>
      </c>
      <c r="S192" t="s">
        <v>100</v>
      </c>
      <c r="T192" t="s">
        <v>60</v>
      </c>
      <c r="U192" t="s">
        <v>18</v>
      </c>
      <c r="V192" s="6" t="s">
        <v>2893</v>
      </c>
      <c r="W192" t="s">
        <v>122</v>
      </c>
      <c r="X192" t="str">
        <f>"515-246-8016"</f>
        <v>515-246-8016</v>
      </c>
      <c r="Y192" t="s">
        <v>151</v>
      </c>
      <c r="Z192" t="s">
        <v>103</v>
      </c>
    </row>
    <row r="193" spans="1:26" x14ac:dyDescent="0.25">
      <c r="A193" t="str">
        <f>"08-04"</f>
        <v>08-04</v>
      </c>
      <c r="C193" t="s">
        <v>2456</v>
      </c>
      <c r="D193" t="s">
        <v>805</v>
      </c>
      <c r="E193" t="s">
        <v>60</v>
      </c>
      <c r="F193" t="s">
        <v>202</v>
      </c>
      <c r="G193" t="s">
        <v>118</v>
      </c>
      <c r="H193" t="s">
        <v>119</v>
      </c>
      <c r="I193" t="str">
        <f>"515-246-8016"</f>
        <v>515-246-8016</v>
      </c>
      <c r="J193" s="11">
        <v>2</v>
      </c>
      <c r="K193" s="11">
        <v>40</v>
      </c>
      <c r="L193" s="11">
        <v>40</v>
      </c>
      <c r="M193" s="11" t="s">
        <v>3050</v>
      </c>
      <c r="N193" s="14">
        <v>44006</v>
      </c>
      <c r="P193" t="s">
        <v>934</v>
      </c>
      <c r="Q193" t="s">
        <v>119</v>
      </c>
      <c r="R193" t="s">
        <v>121</v>
      </c>
      <c r="S193" t="s">
        <v>100</v>
      </c>
      <c r="T193" t="s">
        <v>60</v>
      </c>
      <c r="U193" t="s">
        <v>18</v>
      </c>
      <c r="V193" s="6" t="s">
        <v>2893</v>
      </c>
      <c r="W193" t="s">
        <v>122</v>
      </c>
      <c r="X193" t="str">
        <f>"515-246-8016"</f>
        <v>515-246-8016</v>
      </c>
      <c r="Y193" t="s">
        <v>21</v>
      </c>
      <c r="Z193" t="s">
        <v>103</v>
      </c>
    </row>
    <row r="194" spans="1:26" x14ac:dyDescent="0.25">
      <c r="A194" t="str">
        <f>"08-0906"</f>
        <v>08-0906</v>
      </c>
      <c r="B194" t="s">
        <v>952</v>
      </c>
      <c r="C194" t="s">
        <v>2461</v>
      </c>
      <c r="D194" t="s">
        <v>953</v>
      </c>
      <c r="E194" t="s">
        <v>60</v>
      </c>
      <c r="F194" t="s">
        <v>202</v>
      </c>
      <c r="G194" t="s">
        <v>954</v>
      </c>
      <c r="H194" t="s">
        <v>955</v>
      </c>
      <c r="I194" t="str">
        <f>"515-244-7702"</f>
        <v>515-244-7702</v>
      </c>
      <c r="J194" s="11">
        <v>19</v>
      </c>
      <c r="K194" s="11">
        <v>150</v>
      </c>
      <c r="L194" s="11">
        <v>150</v>
      </c>
      <c r="M194" s="11" t="s">
        <v>3149</v>
      </c>
      <c r="N194" s="14">
        <v>43915</v>
      </c>
      <c r="P194" t="s">
        <v>956</v>
      </c>
      <c r="Q194" t="s">
        <v>957</v>
      </c>
      <c r="R194" t="s">
        <v>958</v>
      </c>
      <c r="T194" t="s">
        <v>60</v>
      </c>
      <c r="U194" t="s">
        <v>18</v>
      </c>
      <c r="V194" s="6" t="s">
        <v>2908</v>
      </c>
      <c r="W194" t="s">
        <v>959</v>
      </c>
      <c r="X194" t="str">
        <f>"515-244-7702"</f>
        <v>515-244-7702</v>
      </c>
      <c r="Y194" t="s">
        <v>33</v>
      </c>
      <c r="Z194" t="s">
        <v>20</v>
      </c>
    </row>
    <row r="195" spans="1:26" x14ac:dyDescent="0.25">
      <c r="A195" t="str">
        <f>"08-0908"</f>
        <v>08-0908</v>
      </c>
      <c r="B195" t="s">
        <v>960</v>
      </c>
      <c r="C195" t="s">
        <v>2804</v>
      </c>
      <c r="D195" t="s">
        <v>961</v>
      </c>
      <c r="E195" t="s">
        <v>60</v>
      </c>
      <c r="F195" t="s">
        <v>202</v>
      </c>
      <c r="G195" t="s">
        <v>954</v>
      </c>
      <c r="H195" t="s">
        <v>955</v>
      </c>
      <c r="I195" t="str">
        <f>"515-244-7702"</f>
        <v>515-244-7702</v>
      </c>
      <c r="J195" s="11">
        <v>16</v>
      </c>
      <c r="K195" s="11">
        <v>150</v>
      </c>
      <c r="L195" s="11">
        <v>150</v>
      </c>
      <c r="M195" s="11" t="s">
        <v>3149</v>
      </c>
      <c r="N195" s="14">
        <v>44027</v>
      </c>
      <c r="P195" t="s">
        <v>962</v>
      </c>
      <c r="Q195" t="s">
        <v>957</v>
      </c>
      <c r="R195" t="s">
        <v>958</v>
      </c>
      <c r="T195" t="s">
        <v>60</v>
      </c>
      <c r="U195" t="s">
        <v>18</v>
      </c>
      <c r="V195" s="6" t="s">
        <v>2908</v>
      </c>
      <c r="W195" t="s">
        <v>959</v>
      </c>
      <c r="X195" t="str">
        <f>"515-244-7702"</f>
        <v>515-244-7702</v>
      </c>
      <c r="Y195" t="s">
        <v>151</v>
      </c>
      <c r="Z195" t="s">
        <v>20</v>
      </c>
    </row>
    <row r="196" spans="1:26" x14ac:dyDescent="0.25">
      <c r="A196" t="str">
        <f>"08-0910"</f>
        <v>08-0910</v>
      </c>
      <c r="C196" t="s">
        <v>2462</v>
      </c>
      <c r="D196" t="s">
        <v>964</v>
      </c>
      <c r="E196" t="s">
        <v>60</v>
      </c>
      <c r="F196" t="s">
        <v>202</v>
      </c>
      <c r="G196" t="s">
        <v>118</v>
      </c>
      <c r="H196" t="s">
        <v>119</v>
      </c>
      <c r="I196" t="str">
        <f>"515-246-8016"</f>
        <v>515-246-8016</v>
      </c>
      <c r="J196" s="11">
        <v>3</v>
      </c>
      <c r="K196" s="11">
        <v>59</v>
      </c>
      <c r="L196" s="11">
        <v>58</v>
      </c>
      <c r="M196" s="11" t="s">
        <v>3050</v>
      </c>
      <c r="N196" s="14">
        <v>43928</v>
      </c>
      <c r="P196" t="s">
        <v>965</v>
      </c>
      <c r="Q196" t="s">
        <v>119</v>
      </c>
      <c r="R196" t="s">
        <v>121</v>
      </c>
      <c r="S196" t="s">
        <v>100</v>
      </c>
      <c r="T196" t="s">
        <v>60</v>
      </c>
      <c r="U196" t="s">
        <v>18</v>
      </c>
      <c r="V196" s="6" t="s">
        <v>2893</v>
      </c>
      <c r="W196" t="s">
        <v>122</v>
      </c>
      <c r="X196" t="str">
        <f>"515-246-8016"</f>
        <v>515-246-8016</v>
      </c>
      <c r="Y196" t="s">
        <v>151</v>
      </c>
      <c r="Z196" t="s">
        <v>103</v>
      </c>
    </row>
    <row r="197" spans="1:26" x14ac:dyDescent="0.25">
      <c r="A197" t="str">
        <f>"08-0922"</f>
        <v>08-0922</v>
      </c>
      <c r="C197" t="s">
        <v>2466</v>
      </c>
      <c r="D197" t="s">
        <v>975</v>
      </c>
      <c r="E197" t="s">
        <v>60</v>
      </c>
      <c r="F197" t="s">
        <v>202</v>
      </c>
      <c r="G197" t="s">
        <v>534</v>
      </c>
      <c r="H197" t="s">
        <v>535</v>
      </c>
      <c r="I197" t="str">
        <f>"612-337-2658"</f>
        <v>612-337-2658</v>
      </c>
      <c r="J197" s="11">
        <v>1</v>
      </c>
      <c r="K197" s="11">
        <v>111</v>
      </c>
      <c r="L197" s="11">
        <v>102</v>
      </c>
      <c r="M197" s="11" t="s">
        <v>3050</v>
      </c>
      <c r="N197" s="14">
        <v>44182</v>
      </c>
      <c r="P197" t="s">
        <v>976</v>
      </c>
      <c r="Q197" t="s">
        <v>537</v>
      </c>
      <c r="R197" t="s">
        <v>538</v>
      </c>
      <c r="S197" t="s">
        <v>539</v>
      </c>
      <c r="T197" t="s">
        <v>540</v>
      </c>
      <c r="U197" t="s">
        <v>31</v>
      </c>
      <c r="V197" s="6" t="s">
        <v>2929</v>
      </c>
      <c r="W197" t="s">
        <v>541</v>
      </c>
      <c r="X197" t="str">
        <f>"612-332-3000"</f>
        <v>612-332-3000</v>
      </c>
      <c r="Y197" t="s">
        <v>21</v>
      </c>
      <c r="Z197" t="s">
        <v>44</v>
      </c>
    </row>
    <row r="198" spans="1:26" x14ac:dyDescent="0.25">
      <c r="A198" t="str">
        <f>"08-0923"</f>
        <v>08-0923</v>
      </c>
      <c r="C198" t="s">
        <v>2467</v>
      </c>
      <c r="D198" t="s">
        <v>977</v>
      </c>
      <c r="E198" t="s">
        <v>60</v>
      </c>
      <c r="F198" t="s">
        <v>202</v>
      </c>
      <c r="G198" t="s">
        <v>534</v>
      </c>
      <c r="H198" t="s">
        <v>535</v>
      </c>
      <c r="I198" t="str">
        <f>"612-337-2658"</f>
        <v>612-337-2658</v>
      </c>
      <c r="J198" s="11">
        <v>1</v>
      </c>
      <c r="K198" s="11">
        <v>66</v>
      </c>
      <c r="L198" s="11">
        <v>66</v>
      </c>
      <c r="M198" s="11" t="s">
        <v>3050</v>
      </c>
      <c r="N198" s="14">
        <v>44032</v>
      </c>
      <c r="P198" t="s">
        <v>978</v>
      </c>
      <c r="Q198" t="s">
        <v>537</v>
      </c>
      <c r="R198" t="s">
        <v>538</v>
      </c>
      <c r="S198" t="s">
        <v>539</v>
      </c>
      <c r="T198" t="s">
        <v>540</v>
      </c>
      <c r="U198" t="s">
        <v>31</v>
      </c>
      <c r="V198" s="6" t="s">
        <v>2929</v>
      </c>
      <c r="W198" t="s">
        <v>541</v>
      </c>
      <c r="X198" t="str">
        <f>"612-332-3000"</f>
        <v>612-332-3000</v>
      </c>
      <c r="Y198" t="s">
        <v>151</v>
      </c>
      <c r="Z198" t="s">
        <v>44</v>
      </c>
    </row>
    <row r="199" spans="1:26" x14ac:dyDescent="0.25">
      <c r="A199" t="str">
        <f>"08-0931"</f>
        <v>08-0931</v>
      </c>
      <c r="C199" t="s">
        <v>2469</v>
      </c>
      <c r="D199" t="s">
        <v>981</v>
      </c>
      <c r="E199" t="s">
        <v>60</v>
      </c>
      <c r="F199" t="s">
        <v>202</v>
      </c>
      <c r="G199" t="s">
        <v>524</v>
      </c>
      <c r="H199" t="s">
        <v>982</v>
      </c>
      <c r="I199" t="str">
        <f>"515-221-6616"</f>
        <v>515-221-6616</v>
      </c>
      <c r="J199" s="11">
        <v>3</v>
      </c>
      <c r="K199" s="11">
        <v>84</v>
      </c>
      <c r="L199" s="11">
        <v>84</v>
      </c>
      <c r="M199" s="11" t="s">
        <v>3050</v>
      </c>
      <c r="N199" s="14">
        <v>44105</v>
      </c>
      <c r="P199" t="s">
        <v>983</v>
      </c>
      <c r="Q199" t="s">
        <v>527</v>
      </c>
      <c r="R199" t="s">
        <v>528</v>
      </c>
      <c r="T199" t="s">
        <v>17</v>
      </c>
      <c r="U199" t="s">
        <v>18</v>
      </c>
      <c r="V199" s="6" t="s">
        <v>2928</v>
      </c>
      <c r="W199" t="s">
        <v>529</v>
      </c>
      <c r="X199" t="str">
        <f>"515-280-2053"</f>
        <v>515-280-2053</v>
      </c>
      <c r="Y199" t="s">
        <v>21</v>
      </c>
      <c r="Z199" t="s">
        <v>116</v>
      </c>
    </row>
    <row r="200" spans="1:26" x14ac:dyDescent="0.25">
      <c r="A200" t="str">
        <f>"09-0925"</f>
        <v>09-0925</v>
      </c>
      <c r="B200" t="s">
        <v>1036</v>
      </c>
      <c r="C200" t="s">
        <v>2482</v>
      </c>
      <c r="D200" t="s">
        <v>1037</v>
      </c>
      <c r="E200" t="s">
        <v>60</v>
      </c>
      <c r="F200" t="s">
        <v>202</v>
      </c>
      <c r="G200" t="s">
        <v>288</v>
      </c>
      <c r="H200" t="s">
        <v>289</v>
      </c>
      <c r="I200" t="str">
        <f>"515-314-5481"</f>
        <v>515-314-5481</v>
      </c>
      <c r="J200" s="11">
        <v>1</v>
      </c>
      <c r="K200" s="11">
        <v>18</v>
      </c>
      <c r="L200" s="11">
        <v>18</v>
      </c>
      <c r="M200" s="11" t="s">
        <v>3049</v>
      </c>
      <c r="N200" s="14">
        <v>43579</v>
      </c>
      <c r="P200" t="s">
        <v>1038</v>
      </c>
      <c r="Q200" t="s">
        <v>289</v>
      </c>
      <c r="R200" t="s">
        <v>291</v>
      </c>
      <c r="T200" t="s">
        <v>60</v>
      </c>
      <c r="U200" t="s">
        <v>18</v>
      </c>
      <c r="V200" s="6" t="s">
        <v>2951</v>
      </c>
      <c r="W200" t="s">
        <v>2878</v>
      </c>
      <c r="X200" t="str">
        <f>"515-314-5481"</f>
        <v>515-314-5481</v>
      </c>
      <c r="Y200" t="s">
        <v>21</v>
      </c>
      <c r="Z200" t="s">
        <v>116</v>
      </c>
    </row>
    <row r="201" spans="1:26" x14ac:dyDescent="0.25">
      <c r="A201" t="str">
        <f>"09-0948"</f>
        <v>09-0948</v>
      </c>
      <c r="C201" t="s">
        <v>2851</v>
      </c>
      <c r="D201" t="s">
        <v>1075</v>
      </c>
      <c r="E201" t="s">
        <v>60</v>
      </c>
      <c r="F201" t="s">
        <v>202</v>
      </c>
      <c r="G201" t="s">
        <v>1076</v>
      </c>
      <c r="H201" t="s">
        <v>1077</v>
      </c>
      <c r="I201" t="str">
        <f>"515-288-2424"</f>
        <v>515-288-2424</v>
      </c>
      <c r="J201" s="11">
        <v>1</v>
      </c>
      <c r="K201" s="11">
        <v>140</v>
      </c>
      <c r="L201" s="11">
        <v>140</v>
      </c>
      <c r="M201" s="11" t="s">
        <v>3050</v>
      </c>
      <c r="N201" s="14">
        <v>43124</v>
      </c>
      <c r="P201" t="s">
        <v>1078</v>
      </c>
      <c r="Q201" t="s">
        <v>1079</v>
      </c>
      <c r="R201" t="s">
        <v>1080</v>
      </c>
      <c r="T201" t="s">
        <v>60</v>
      </c>
      <c r="U201" t="s">
        <v>18</v>
      </c>
      <c r="V201" s="6" t="s">
        <v>2968</v>
      </c>
      <c r="W201" t="s">
        <v>1081</v>
      </c>
      <c r="X201" t="str">
        <f>"515-481-8515"</f>
        <v>515-481-8515</v>
      </c>
      <c r="Y201" t="s">
        <v>21</v>
      </c>
      <c r="Z201" t="s">
        <v>44</v>
      </c>
    </row>
    <row r="202" spans="1:26" x14ac:dyDescent="0.25">
      <c r="A202" t="str">
        <f>"10-10-10"</f>
        <v>10-10-10</v>
      </c>
      <c r="B202" t="str">
        <f>"93-400-731-02"</f>
        <v>93-400-731-02</v>
      </c>
      <c r="C202" t="s">
        <v>2494</v>
      </c>
      <c r="D202" t="s">
        <v>1105</v>
      </c>
      <c r="E202" t="s">
        <v>60</v>
      </c>
      <c r="F202" t="s">
        <v>202</v>
      </c>
      <c r="G202" t="s">
        <v>1026</v>
      </c>
      <c r="H202" t="s">
        <v>1027</v>
      </c>
      <c r="I202" t="str">
        <f>"651-291-1750"</f>
        <v>651-291-1750</v>
      </c>
      <c r="J202" s="11">
        <v>4</v>
      </c>
      <c r="K202" s="11">
        <v>60</v>
      </c>
      <c r="L202" s="11">
        <v>60</v>
      </c>
      <c r="M202" s="11" t="s">
        <v>3050</v>
      </c>
      <c r="N202" s="14">
        <v>43320</v>
      </c>
      <c r="P202" t="s">
        <v>1106</v>
      </c>
      <c r="Q202" t="s">
        <v>1027</v>
      </c>
      <c r="R202" t="s">
        <v>1029</v>
      </c>
      <c r="T202" t="s">
        <v>30</v>
      </c>
      <c r="U202" t="s">
        <v>31</v>
      </c>
      <c r="V202" s="6" t="s">
        <v>2964</v>
      </c>
      <c r="W202" t="s">
        <v>1030</v>
      </c>
      <c r="X202" t="str">
        <f>"651-291-1750"</f>
        <v>651-291-1750</v>
      </c>
      <c r="Y202" t="s">
        <v>33</v>
      </c>
      <c r="Z202" t="s">
        <v>103</v>
      </c>
    </row>
    <row r="203" spans="1:26" x14ac:dyDescent="0.25">
      <c r="A203" t="str">
        <f>"10-10-11"</f>
        <v>10-10-11</v>
      </c>
      <c r="B203" t="s">
        <v>1107</v>
      </c>
      <c r="C203" t="s">
        <v>2807</v>
      </c>
      <c r="D203" t="s">
        <v>1108</v>
      </c>
      <c r="E203" t="s">
        <v>60</v>
      </c>
      <c r="F203" t="s">
        <v>202</v>
      </c>
      <c r="G203" t="s">
        <v>834</v>
      </c>
      <c r="H203" t="s">
        <v>835</v>
      </c>
      <c r="I203" t="str">
        <f>"515-707-2619"</f>
        <v>515-707-2619</v>
      </c>
      <c r="J203" s="11">
        <v>1</v>
      </c>
      <c r="K203" s="11">
        <v>40</v>
      </c>
      <c r="L203" s="11">
        <v>40</v>
      </c>
      <c r="M203" s="11" t="s">
        <v>3149</v>
      </c>
      <c r="N203" s="14">
        <v>43864</v>
      </c>
      <c r="P203" t="s">
        <v>1109</v>
      </c>
      <c r="Q203" t="s">
        <v>837</v>
      </c>
      <c r="R203" t="s">
        <v>838</v>
      </c>
      <c r="T203" t="s">
        <v>60</v>
      </c>
      <c r="U203" t="s">
        <v>18</v>
      </c>
      <c r="V203" s="6" t="s">
        <v>2952</v>
      </c>
      <c r="W203" t="s">
        <v>839</v>
      </c>
      <c r="X203" t="str">
        <f>"515-554-9773"</f>
        <v>515-554-9773</v>
      </c>
      <c r="Y203" t="s">
        <v>21</v>
      </c>
      <c r="Z203" t="s">
        <v>20</v>
      </c>
    </row>
    <row r="204" spans="1:26" x14ac:dyDescent="0.25">
      <c r="A204" t="str">
        <f>"10-10-13"</f>
        <v>10-10-13</v>
      </c>
      <c r="C204" t="s">
        <v>2495</v>
      </c>
      <c r="D204" t="s">
        <v>1110</v>
      </c>
      <c r="E204" t="s">
        <v>60</v>
      </c>
      <c r="F204" t="s">
        <v>202</v>
      </c>
      <c r="G204" t="s">
        <v>870</v>
      </c>
      <c r="H204" t="s">
        <v>871</v>
      </c>
      <c r="I204" t="str">
        <f>"763-354-5518"</f>
        <v>763-354-5518</v>
      </c>
      <c r="J204" s="11">
        <v>4</v>
      </c>
      <c r="K204" s="11">
        <v>96</v>
      </c>
      <c r="L204" s="11">
        <v>95</v>
      </c>
      <c r="M204" s="11" t="s">
        <v>3149</v>
      </c>
      <c r="N204" s="14">
        <v>44203</v>
      </c>
      <c r="P204" t="s">
        <v>1111</v>
      </c>
      <c r="Q204" t="s">
        <v>1112</v>
      </c>
      <c r="R204" t="s">
        <v>874</v>
      </c>
      <c r="S204" t="s">
        <v>875</v>
      </c>
      <c r="T204" t="s">
        <v>379</v>
      </c>
      <c r="U204" t="s">
        <v>31</v>
      </c>
      <c r="V204" s="6" t="s">
        <v>2956</v>
      </c>
      <c r="W204" t="s">
        <v>1113</v>
      </c>
      <c r="X204" t="str">
        <f>"763-354-5500"</f>
        <v>763-354-5500</v>
      </c>
      <c r="Y204" t="s">
        <v>151</v>
      </c>
      <c r="Z204" t="s">
        <v>44</v>
      </c>
    </row>
    <row r="205" spans="1:26" x14ac:dyDescent="0.25">
      <c r="A205" t="str">
        <f>"10-10-18"</f>
        <v>10-10-18</v>
      </c>
      <c r="C205" t="s">
        <v>2497</v>
      </c>
      <c r="D205" t="s">
        <v>1122</v>
      </c>
      <c r="E205" t="s">
        <v>60</v>
      </c>
      <c r="F205" t="s">
        <v>202</v>
      </c>
      <c r="G205" t="s">
        <v>870</v>
      </c>
      <c r="H205" t="s">
        <v>871</v>
      </c>
      <c r="I205" t="str">
        <f>"763-354-5518"</f>
        <v>763-354-5518</v>
      </c>
      <c r="J205" s="11">
        <v>5</v>
      </c>
      <c r="K205" s="11">
        <v>120</v>
      </c>
      <c r="L205" s="11">
        <v>119</v>
      </c>
      <c r="M205" s="11" t="s">
        <v>3149</v>
      </c>
      <c r="N205" s="14">
        <v>44202</v>
      </c>
      <c r="P205" t="s">
        <v>1123</v>
      </c>
      <c r="Q205" t="s">
        <v>1112</v>
      </c>
      <c r="R205" t="s">
        <v>874</v>
      </c>
      <c r="S205" t="s">
        <v>875</v>
      </c>
      <c r="T205" t="s">
        <v>379</v>
      </c>
      <c r="U205" t="s">
        <v>31</v>
      </c>
      <c r="V205" s="6" t="s">
        <v>2956</v>
      </c>
      <c r="W205" t="s">
        <v>1113</v>
      </c>
      <c r="X205" t="str">
        <f>"763-354-5500"</f>
        <v>763-354-5500</v>
      </c>
      <c r="Y205" t="s">
        <v>33</v>
      </c>
      <c r="Z205" t="s">
        <v>44</v>
      </c>
    </row>
    <row r="206" spans="1:26" x14ac:dyDescent="0.25">
      <c r="A206" t="str">
        <f>"10-10-19"</f>
        <v>10-10-19</v>
      </c>
      <c r="C206" t="s">
        <v>2498</v>
      </c>
      <c r="D206" t="s">
        <v>1124</v>
      </c>
      <c r="E206" t="s">
        <v>60</v>
      </c>
      <c r="F206" t="s">
        <v>202</v>
      </c>
      <c r="G206" t="s">
        <v>870</v>
      </c>
      <c r="H206" t="s">
        <v>871</v>
      </c>
      <c r="I206" t="str">
        <f>"763-354-5518"</f>
        <v>763-354-5518</v>
      </c>
      <c r="J206" s="11">
        <v>2</v>
      </c>
      <c r="K206" s="11">
        <v>60</v>
      </c>
      <c r="L206" s="11">
        <v>59</v>
      </c>
      <c r="M206" s="11" t="s">
        <v>3149</v>
      </c>
      <c r="N206" s="14">
        <v>44203</v>
      </c>
      <c r="P206" t="s">
        <v>1125</v>
      </c>
      <c r="Q206" t="s">
        <v>1112</v>
      </c>
      <c r="R206" t="s">
        <v>874</v>
      </c>
      <c r="S206" t="s">
        <v>875</v>
      </c>
      <c r="T206" t="s">
        <v>379</v>
      </c>
      <c r="U206" t="s">
        <v>31</v>
      </c>
      <c r="V206" s="6" t="s">
        <v>2956</v>
      </c>
      <c r="W206" t="s">
        <v>1126</v>
      </c>
      <c r="X206" t="str">
        <f>"763-354-5500"</f>
        <v>763-354-5500</v>
      </c>
      <c r="Y206" t="s">
        <v>33</v>
      </c>
      <c r="Z206" t="s">
        <v>44</v>
      </c>
    </row>
    <row r="207" spans="1:26" x14ac:dyDescent="0.25">
      <c r="A207" t="str">
        <f>"10-10-20"</f>
        <v>10-10-20</v>
      </c>
      <c r="C207" t="s">
        <v>2499</v>
      </c>
      <c r="D207" t="s">
        <v>1127</v>
      </c>
      <c r="E207" t="s">
        <v>60</v>
      </c>
      <c r="F207" t="s">
        <v>202</v>
      </c>
      <c r="G207" t="s">
        <v>870</v>
      </c>
      <c r="H207" t="s">
        <v>871</v>
      </c>
      <c r="I207" t="str">
        <f>"763-354-5518"</f>
        <v>763-354-5518</v>
      </c>
      <c r="J207" s="11">
        <v>3</v>
      </c>
      <c r="K207" s="11">
        <v>72</v>
      </c>
      <c r="L207" s="11">
        <v>71</v>
      </c>
      <c r="M207" s="11" t="s">
        <v>3050</v>
      </c>
      <c r="N207" s="14">
        <v>43740</v>
      </c>
      <c r="P207" t="s">
        <v>1128</v>
      </c>
      <c r="Q207" t="s">
        <v>1112</v>
      </c>
      <c r="R207" t="s">
        <v>874</v>
      </c>
      <c r="S207" t="s">
        <v>875</v>
      </c>
      <c r="T207" t="s">
        <v>379</v>
      </c>
      <c r="U207" t="s">
        <v>31</v>
      </c>
      <c r="V207" s="6" t="s">
        <v>2956</v>
      </c>
      <c r="W207" t="s">
        <v>1113</v>
      </c>
      <c r="X207" t="str">
        <f>"763-354-5500"</f>
        <v>763-354-5500</v>
      </c>
      <c r="Y207" t="s">
        <v>33</v>
      </c>
      <c r="Z207" t="s">
        <v>44</v>
      </c>
    </row>
    <row r="208" spans="1:26" x14ac:dyDescent="0.25">
      <c r="A208" t="str">
        <f>"10-10-22"</f>
        <v>10-10-22</v>
      </c>
      <c r="B208" t="s">
        <v>1129</v>
      </c>
      <c r="C208" t="s">
        <v>2500</v>
      </c>
      <c r="D208" t="s">
        <v>1130</v>
      </c>
      <c r="E208" t="s">
        <v>60</v>
      </c>
      <c r="F208" t="s">
        <v>202</v>
      </c>
      <c r="G208" t="s">
        <v>78</v>
      </c>
      <c r="H208" t="s">
        <v>79</v>
      </c>
      <c r="I208" t="str">
        <f>"515-225-4782"</f>
        <v>515-225-4782</v>
      </c>
      <c r="J208" s="11">
        <v>1</v>
      </c>
      <c r="K208" s="11">
        <v>60</v>
      </c>
      <c r="L208" s="11">
        <v>60</v>
      </c>
      <c r="M208" s="11" t="s">
        <v>3149</v>
      </c>
      <c r="N208" s="14">
        <v>44046</v>
      </c>
      <c r="P208" t="s">
        <v>1131</v>
      </c>
      <c r="Q208" t="s">
        <v>1132</v>
      </c>
      <c r="R208" t="s">
        <v>1133</v>
      </c>
      <c r="T208" t="s">
        <v>60</v>
      </c>
      <c r="U208" t="s">
        <v>18</v>
      </c>
      <c r="V208" s="6" t="s">
        <v>2897</v>
      </c>
      <c r="W208" t="s">
        <v>1134</v>
      </c>
      <c r="X208" t="str">
        <f>"515-285-4192"</f>
        <v>515-285-4192</v>
      </c>
      <c r="Y208" t="s">
        <v>21</v>
      </c>
      <c r="Z208" t="s">
        <v>62</v>
      </c>
    </row>
    <row r="209" spans="1:26" x14ac:dyDescent="0.25">
      <c r="A209" t="str">
        <f>"10-10-222"</f>
        <v>10-10-222</v>
      </c>
      <c r="B209" t="s">
        <v>1135</v>
      </c>
      <c r="C209" t="s">
        <v>2808</v>
      </c>
      <c r="D209" t="s">
        <v>1136</v>
      </c>
      <c r="E209" t="s">
        <v>60</v>
      </c>
      <c r="F209" t="s">
        <v>202</v>
      </c>
      <c r="G209" t="s">
        <v>288</v>
      </c>
      <c r="H209" t="s">
        <v>289</v>
      </c>
      <c r="I209" t="str">
        <f>"515-314-5481"</f>
        <v>515-314-5481</v>
      </c>
      <c r="J209" s="11">
        <v>1</v>
      </c>
      <c r="K209" s="11">
        <v>30</v>
      </c>
      <c r="L209" s="11">
        <v>30</v>
      </c>
      <c r="M209" s="11" t="s">
        <v>3149</v>
      </c>
      <c r="N209" s="14">
        <v>44021</v>
      </c>
      <c r="P209" t="s">
        <v>1137</v>
      </c>
      <c r="Q209" t="s">
        <v>289</v>
      </c>
      <c r="R209" t="s">
        <v>291</v>
      </c>
      <c r="T209" t="s">
        <v>60</v>
      </c>
      <c r="U209" t="s">
        <v>18</v>
      </c>
      <c r="V209" s="6" t="s">
        <v>2951</v>
      </c>
      <c r="W209" t="s">
        <v>2878</v>
      </c>
      <c r="X209" t="str">
        <f>"515-314-5481"</f>
        <v>515-314-5481</v>
      </c>
      <c r="Y209" t="s">
        <v>21</v>
      </c>
      <c r="Z209" t="s">
        <v>116</v>
      </c>
    </row>
    <row r="210" spans="1:26" x14ac:dyDescent="0.25">
      <c r="A210" t="str">
        <f>"10-10-247"</f>
        <v>10-10-247</v>
      </c>
      <c r="C210" t="s">
        <v>2853</v>
      </c>
      <c r="D210" t="s">
        <v>1179</v>
      </c>
      <c r="E210" t="s">
        <v>60</v>
      </c>
      <c r="F210" t="s">
        <v>202</v>
      </c>
      <c r="G210" t="s">
        <v>524</v>
      </c>
      <c r="H210" t="s">
        <v>525</v>
      </c>
      <c r="I210" t="str">
        <f>"515-280-2071"</f>
        <v>515-280-2071</v>
      </c>
      <c r="J210" s="11">
        <v>1</v>
      </c>
      <c r="K210" s="11">
        <v>91</v>
      </c>
      <c r="L210" s="11">
        <v>91</v>
      </c>
      <c r="M210" s="11" t="s">
        <v>3050</v>
      </c>
      <c r="N210" s="14">
        <v>43719</v>
      </c>
      <c r="P210" t="s">
        <v>1180</v>
      </c>
      <c r="Q210" t="s">
        <v>527</v>
      </c>
      <c r="R210" t="s">
        <v>528</v>
      </c>
      <c r="T210" t="s">
        <v>17</v>
      </c>
      <c r="U210" t="s">
        <v>18</v>
      </c>
      <c r="V210" s="6" t="s">
        <v>2928</v>
      </c>
      <c r="W210" t="s">
        <v>529</v>
      </c>
      <c r="X210" t="str">
        <f>"515-280-2053"</f>
        <v>515-280-2053</v>
      </c>
      <c r="Y210" t="s">
        <v>151</v>
      </c>
      <c r="Z210" t="s">
        <v>116</v>
      </c>
    </row>
    <row r="211" spans="1:26" x14ac:dyDescent="0.25">
      <c r="A211" t="str">
        <f>"10-10-6"</f>
        <v>10-10-6</v>
      </c>
      <c r="B211" t="s">
        <v>1228</v>
      </c>
      <c r="C211" t="s">
        <v>2523</v>
      </c>
      <c r="D211" t="s">
        <v>1229</v>
      </c>
      <c r="E211" t="s">
        <v>60</v>
      </c>
      <c r="F211" t="s">
        <v>202</v>
      </c>
      <c r="G211" t="s">
        <v>78</v>
      </c>
      <c r="H211" t="s">
        <v>79</v>
      </c>
      <c r="I211" t="str">
        <f>"515-225-4782"</f>
        <v>515-225-4782</v>
      </c>
      <c r="J211" s="11">
        <v>1</v>
      </c>
      <c r="K211" s="11">
        <v>28</v>
      </c>
      <c r="L211" s="11">
        <v>28</v>
      </c>
      <c r="M211" s="11" t="s">
        <v>3149</v>
      </c>
      <c r="N211" s="14">
        <v>44064</v>
      </c>
      <c r="P211" t="s">
        <v>1230</v>
      </c>
      <c r="Q211" t="s">
        <v>1231</v>
      </c>
      <c r="R211" t="s">
        <v>1232</v>
      </c>
      <c r="S211" t="s">
        <v>1233</v>
      </c>
      <c r="T211" t="s">
        <v>1234</v>
      </c>
      <c r="U211" t="s">
        <v>18</v>
      </c>
      <c r="V211" s="6" t="s">
        <v>2979</v>
      </c>
      <c r="W211" t="s">
        <v>1235</v>
      </c>
      <c r="X211" t="str">
        <f>"515-225-4782"</f>
        <v>515-225-4782</v>
      </c>
      <c r="Y211" t="s">
        <v>21</v>
      </c>
      <c r="Z211" t="s">
        <v>62</v>
      </c>
    </row>
    <row r="212" spans="1:26" x14ac:dyDescent="0.25">
      <c r="A212" t="str">
        <f>"11-11-21"</f>
        <v>11-11-21</v>
      </c>
      <c r="C212" t="s">
        <v>2533</v>
      </c>
      <c r="D212" t="s">
        <v>1286</v>
      </c>
      <c r="E212" t="s">
        <v>60</v>
      </c>
      <c r="F212" t="s">
        <v>202</v>
      </c>
      <c r="G212" t="s">
        <v>203</v>
      </c>
      <c r="H212" t="s">
        <v>204</v>
      </c>
      <c r="I212" t="str">
        <f>"515-244-8308"</f>
        <v>515-244-8308</v>
      </c>
      <c r="J212" s="11">
        <v>4</v>
      </c>
      <c r="K212" s="11">
        <v>28</v>
      </c>
      <c r="L212" s="11">
        <v>28</v>
      </c>
      <c r="M212" s="11" t="s">
        <v>3050</v>
      </c>
      <c r="N212" s="14">
        <v>43693</v>
      </c>
      <c r="P212" t="s">
        <v>203</v>
      </c>
      <c r="Q212" t="s">
        <v>204</v>
      </c>
      <c r="R212" t="s">
        <v>234</v>
      </c>
      <c r="S212" t="s">
        <v>235</v>
      </c>
      <c r="T212" t="s">
        <v>60</v>
      </c>
      <c r="U212" t="s">
        <v>18</v>
      </c>
      <c r="V212" s="6" t="s">
        <v>2904</v>
      </c>
      <c r="W212" t="s">
        <v>236</v>
      </c>
      <c r="X212" t="str">
        <f>"515-244-8308"</f>
        <v>515-244-8308</v>
      </c>
      <c r="Y212" t="s">
        <v>21</v>
      </c>
      <c r="Z212" t="s">
        <v>44</v>
      </c>
    </row>
    <row r="213" spans="1:26" x14ac:dyDescent="0.25">
      <c r="A213" t="str">
        <f>"11-11-42"</f>
        <v>11-11-42</v>
      </c>
      <c r="B213" t="s">
        <v>1306</v>
      </c>
      <c r="C213" t="s">
        <v>2537</v>
      </c>
      <c r="D213" t="s">
        <v>1307</v>
      </c>
      <c r="E213" t="s">
        <v>60</v>
      </c>
      <c r="F213" t="s">
        <v>202</v>
      </c>
      <c r="G213" t="s">
        <v>954</v>
      </c>
      <c r="H213" t="s">
        <v>955</v>
      </c>
      <c r="I213" t="str">
        <f>"515-244-7702"</f>
        <v>515-244-7702</v>
      </c>
      <c r="J213" s="11">
        <v>1</v>
      </c>
      <c r="K213" s="11">
        <v>39</v>
      </c>
      <c r="L213" s="11">
        <v>39</v>
      </c>
      <c r="M213" s="11" t="s">
        <v>3149</v>
      </c>
      <c r="N213" s="14">
        <v>44117</v>
      </c>
      <c r="P213" t="s">
        <v>1308</v>
      </c>
      <c r="Q213" t="s">
        <v>957</v>
      </c>
      <c r="R213" t="s">
        <v>958</v>
      </c>
      <c r="T213" t="s">
        <v>60</v>
      </c>
      <c r="U213" t="s">
        <v>18</v>
      </c>
      <c r="V213" s="6" t="s">
        <v>2908</v>
      </c>
      <c r="W213" t="s">
        <v>959</v>
      </c>
      <c r="X213" t="str">
        <f>"515-244-7702"</f>
        <v>515-244-7702</v>
      </c>
      <c r="Y213" t="s">
        <v>21</v>
      </c>
      <c r="Z213" t="s">
        <v>20</v>
      </c>
    </row>
    <row r="214" spans="1:26" x14ac:dyDescent="0.25">
      <c r="A214" t="str">
        <f>"11-11-49"</f>
        <v>11-11-49</v>
      </c>
      <c r="B214" t="s">
        <v>1312</v>
      </c>
      <c r="C214" t="s">
        <v>2538</v>
      </c>
      <c r="D214" t="s">
        <v>1313</v>
      </c>
      <c r="E214" t="s">
        <v>60</v>
      </c>
      <c r="F214" t="s">
        <v>202</v>
      </c>
      <c r="G214" t="s">
        <v>55</v>
      </c>
      <c r="H214" t="s">
        <v>56</v>
      </c>
      <c r="I214" t="str">
        <f>"712-262-5965"</f>
        <v>712-262-5965</v>
      </c>
      <c r="J214" s="11">
        <v>8</v>
      </c>
      <c r="K214" s="11">
        <v>16</v>
      </c>
      <c r="L214" s="11">
        <v>16</v>
      </c>
      <c r="M214" s="11" t="s">
        <v>3049</v>
      </c>
      <c r="N214" s="14">
        <v>44182</v>
      </c>
      <c r="P214" t="s">
        <v>1314</v>
      </c>
      <c r="Q214" t="s">
        <v>58</v>
      </c>
      <c r="R214" t="s">
        <v>59</v>
      </c>
      <c r="T214" t="s">
        <v>60</v>
      </c>
      <c r="U214" t="s">
        <v>18</v>
      </c>
      <c r="V214" s="6" t="s">
        <v>2888</v>
      </c>
      <c r="W214" t="s">
        <v>61</v>
      </c>
      <c r="X214" t="str">
        <f>"515-262-5965"</f>
        <v>515-262-5965</v>
      </c>
      <c r="Y214" t="s">
        <v>33</v>
      </c>
      <c r="Z214" t="s">
        <v>62</v>
      </c>
    </row>
    <row r="215" spans="1:26" x14ac:dyDescent="0.25">
      <c r="A215" t="str">
        <f>"11-11-57"</f>
        <v>11-11-57</v>
      </c>
      <c r="C215" t="s">
        <v>2540</v>
      </c>
      <c r="D215" t="s">
        <v>1317</v>
      </c>
      <c r="E215" t="s">
        <v>60</v>
      </c>
      <c r="F215" t="s">
        <v>202</v>
      </c>
      <c r="G215" t="s">
        <v>24</v>
      </c>
      <c r="H215" t="s">
        <v>25</v>
      </c>
      <c r="I215" t="str">
        <f>"319-415-7610"</f>
        <v>319-415-7610</v>
      </c>
      <c r="J215" s="11">
        <v>1</v>
      </c>
      <c r="K215" s="11">
        <v>36</v>
      </c>
      <c r="L215" s="11">
        <v>30</v>
      </c>
      <c r="M215" s="11" t="s">
        <v>3050</v>
      </c>
      <c r="N215" s="14">
        <v>44098</v>
      </c>
      <c r="P215" t="s">
        <v>1318</v>
      </c>
      <c r="Q215" t="s">
        <v>1319</v>
      </c>
      <c r="R215" t="s">
        <v>28</v>
      </c>
      <c r="S215" t="s">
        <v>29</v>
      </c>
      <c r="T215" t="s">
        <v>30</v>
      </c>
      <c r="U215" t="s">
        <v>31</v>
      </c>
      <c r="V215" s="6" t="s">
        <v>2885</v>
      </c>
      <c r="W215" t="s">
        <v>1320</v>
      </c>
      <c r="X215" t="str">
        <f>"651-523-1246"</f>
        <v>651-523-1246</v>
      </c>
      <c r="Y215" t="s">
        <v>151</v>
      </c>
      <c r="Z215" t="s">
        <v>20</v>
      </c>
    </row>
    <row r="216" spans="1:26" x14ac:dyDescent="0.25">
      <c r="A216" t="str">
        <f>"11-11-61"</f>
        <v>11-11-61</v>
      </c>
      <c r="B216" t="s">
        <v>1335</v>
      </c>
      <c r="C216" t="s">
        <v>2854</v>
      </c>
      <c r="D216" t="s">
        <v>1336</v>
      </c>
      <c r="E216" t="s">
        <v>60</v>
      </c>
      <c r="F216" t="s">
        <v>202</v>
      </c>
      <c r="G216" t="s">
        <v>288</v>
      </c>
      <c r="H216" t="s">
        <v>289</v>
      </c>
      <c r="I216" t="str">
        <f>"515-314-5481"</f>
        <v>515-314-5481</v>
      </c>
      <c r="J216" s="11">
        <v>1</v>
      </c>
      <c r="K216" s="11">
        <v>21</v>
      </c>
      <c r="L216" s="11">
        <v>21</v>
      </c>
      <c r="M216" s="11" t="s">
        <v>3049</v>
      </c>
      <c r="N216" s="14">
        <v>43642</v>
      </c>
      <c r="P216" t="s">
        <v>1337</v>
      </c>
      <c r="Q216" t="s">
        <v>289</v>
      </c>
      <c r="R216" t="s">
        <v>291</v>
      </c>
      <c r="T216" t="s">
        <v>60</v>
      </c>
      <c r="U216" t="s">
        <v>18</v>
      </c>
      <c r="V216" s="6" t="s">
        <v>2951</v>
      </c>
      <c r="W216" t="s">
        <v>2878</v>
      </c>
      <c r="X216" t="str">
        <f>"515-314-5481"</f>
        <v>515-314-5481</v>
      </c>
      <c r="Y216" t="s">
        <v>21</v>
      </c>
      <c r="Z216" t="s">
        <v>116</v>
      </c>
    </row>
    <row r="217" spans="1:26" x14ac:dyDescent="0.25">
      <c r="A217" t="str">
        <f>"11-11-9"</f>
        <v>11-11-9</v>
      </c>
      <c r="B217" t="s">
        <v>1338</v>
      </c>
      <c r="C217" t="s">
        <v>2881</v>
      </c>
      <c r="D217" t="s">
        <v>1339</v>
      </c>
      <c r="E217" t="s">
        <v>60</v>
      </c>
      <c r="F217" t="s">
        <v>202</v>
      </c>
      <c r="G217" t="s">
        <v>288</v>
      </c>
      <c r="H217" t="s">
        <v>289</v>
      </c>
      <c r="I217" t="str">
        <f>"515-314-5481"</f>
        <v>515-314-5481</v>
      </c>
      <c r="J217" s="11">
        <v>26</v>
      </c>
      <c r="K217" s="11">
        <v>26</v>
      </c>
      <c r="L217" s="11">
        <v>26</v>
      </c>
      <c r="M217" s="11" t="s">
        <v>3149</v>
      </c>
      <c r="N217" s="14">
        <v>44063</v>
      </c>
      <c r="P217" t="s">
        <v>1340</v>
      </c>
      <c r="Q217" t="s">
        <v>289</v>
      </c>
      <c r="R217" t="s">
        <v>291</v>
      </c>
      <c r="T217" t="s">
        <v>60</v>
      </c>
      <c r="U217" t="s">
        <v>18</v>
      </c>
      <c r="V217" s="6" t="s">
        <v>2951</v>
      </c>
      <c r="W217" t="s">
        <v>2878</v>
      </c>
      <c r="X217" t="str">
        <f>"515-314-5481"</f>
        <v>515-314-5481</v>
      </c>
      <c r="Y217" t="s">
        <v>21</v>
      </c>
      <c r="Z217" t="s">
        <v>116</v>
      </c>
    </row>
    <row r="218" spans="1:26" x14ac:dyDescent="0.25">
      <c r="A218" t="str">
        <f>"12-12-11"</f>
        <v>12-12-11</v>
      </c>
      <c r="C218" t="s">
        <v>2811</v>
      </c>
      <c r="D218" t="s">
        <v>981</v>
      </c>
      <c r="E218" t="s">
        <v>60</v>
      </c>
      <c r="F218" t="s">
        <v>202</v>
      </c>
      <c r="G218" t="s">
        <v>524</v>
      </c>
      <c r="H218" t="s">
        <v>982</v>
      </c>
      <c r="I218" t="str">
        <f>"515-221-6616"</f>
        <v>515-221-6616</v>
      </c>
      <c r="J218" s="11">
        <v>2</v>
      </c>
      <c r="K218" s="11">
        <v>62</v>
      </c>
      <c r="L218" s="11">
        <v>62</v>
      </c>
      <c r="M218" s="11" t="s">
        <v>3050</v>
      </c>
      <c r="N218" s="14">
        <v>44070</v>
      </c>
      <c r="P218" t="s">
        <v>1355</v>
      </c>
      <c r="Q218" t="s">
        <v>527</v>
      </c>
      <c r="R218" t="s">
        <v>528</v>
      </c>
      <c r="T218" t="s">
        <v>17</v>
      </c>
      <c r="U218" t="s">
        <v>18</v>
      </c>
      <c r="V218" s="6" t="s">
        <v>2928</v>
      </c>
      <c r="W218" t="s">
        <v>529</v>
      </c>
      <c r="X218" t="str">
        <f>"515-280-2053"</f>
        <v>515-280-2053</v>
      </c>
      <c r="Y218" t="s">
        <v>21</v>
      </c>
      <c r="Z218" t="s">
        <v>116</v>
      </c>
    </row>
    <row r="219" spans="1:26" x14ac:dyDescent="0.25">
      <c r="A219" t="str">
        <f>"12-12-19"</f>
        <v>12-12-19</v>
      </c>
      <c r="C219" t="s">
        <v>2546</v>
      </c>
      <c r="D219" t="s">
        <v>1356</v>
      </c>
      <c r="E219" t="s">
        <v>60</v>
      </c>
      <c r="F219" t="s">
        <v>202</v>
      </c>
      <c r="G219" t="s">
        <v>203</v>
      </c>
      <c r="H219" t="s">
        <v>204</v>
      </c>
      <c r="I219" t="str">
        <f>"515-244-8308"</f>
        <v>515-244-8308</v>
      </c>
      <c r="J219" s="11">
        <v>2</v>
      </c>
      <c r="K219" s="11">
        <v>60</v>
      </c>
      <c r="L219" s="11">
        <v>60</v>
      </c>
      <c r="M219" s="11" t="s">
        <v>3050</v>
      </c>
      <c r="N219" s="14">
        <v>44063</v>
      </c>
      <c r="P219" t="s">
        <v>1357</v>
      </c>
      <c r="Q219" t="s">
        <v>204</v>
      </c>
      <c r="R219" t="s">
        <v>234</v>
      </c>
      <c r="S219" t="s">
        <v>235</v>
      </c>
      <c r="T219" t="s">
        <v>60</v>
      </c>
      <c r="U219" t="s">
        <v>18</v>
      </c>
      <c r="V219" s="6" t="s">
        <v>2904</v>
      </c>
      <c r="W219" t="s">
        <v>236</v>
      </c>
      <c r="X219" t="str">
        <f>"515-244-8308"</f>
        <v>515-244-8308</v>
      </c>
      <c r="Y219" t="s">
        <v>21</v>
      </c>
      <c r="Z219" t="s">
        <v>44</v>
      </c>
    </row>
    <row r="220" spans="1:26" x14ac:dyDescent="0.25">
      <c r="A220" t="str">
        <f>"12-12-24"</f>
        <v>12-12-24</v>
      </c>
      <c r="C220" t="s">
        <v>2549</v>
      </c>
      <c r="D220" t="s">
        <v>1363</v>
      </c>
      <c r="E220" t="s">
        <v>60</v>
      </c>
      <c r="F220" t="s">
        <v>202</v>
      </c>
      <c r="G220" t="s">
        <v>851</v>
      </c>
      <c r="H220" t="s">
        <v>852</v>
      </c>
      <c r="I220" t="str">
        <f>"515-490-9001"</f>
        <v>515-490-9001</v>
      </c>
      <c r="J220" s="11">
        <v>1</v>
      </c>
      <c r="K220" s="11">
        <v>131</v>
      </c>
      <c r="L220" s="11">
        <v>106</v>
      </c>
      <c r="M220" s="11" t="s">
        <v>3050</v>
      </c>
      <c r="N220" s="14">
        <v>43664</v>
      </c>
      <c r="P220" t="s">
        <v>1364</v>
      </c>
      <c r="Q220" t="s">
        <v>1365</v>
      </c>
      <c r="R220" t="s">
        <v>1363</v>
      </c>
      <c r="T220" t="s">
        <v>60</v>
      </c>
      <c r="U220" t="s">
        <v>18</v>
      </c>
      <c r="V220" s="6" t="s">
        <v>2901</v>
      </c>
      <c r="W220" t="s">
        <v>1366</v>
      </c>
      <c r="X220" t="str">
        <f>"515-246-1500"</f>
        <v>515-246-1500</v>
      </c>
      <c r="Y220" t="s">
        <v>151</v>
      </c>
      <c r="Z220" t="s">
        <v>44</v>
      </c>
    </row>
    <row r="221" spans="1:26" x14ac:dyDescent="0.25">
      <c r="A221" t="str">
        <f>"12-12-26"</f>
        <v>12-12-26</v>
      </c>
      <c r="B221" t="s">
        <v>1367</v>
      </c>
      <c r="C221" t="s">
        <v>2550</v>
      </c>
      <c r="D221" t="s">
        <v>1368</v>
      </c>
      <c r="E221" t="s">
        <v>60</v>
      </c>
      <c r="F221" t="s">
        <v>202</v>
      </c>
      <c r="G221" t="s">
        <v>288</v>
      </c>
      <c r="H221" t="s">
        <v>289</v>
      </c>
      <c r="I221" t="str">
        <f>"515-314-5481"</f>
        <v>515-314-5481</v>
      </c>
      <c r="J221" s="11">
        <v>38</v>
      </c>
      <c r="K221" s="11">
        <v>38</v>
      </c>
      <c r="L221" s="11">
        <v>38</v>
      </c>
      <c r="M221" s="11" t="s">
        <v>3050</v>
      </c>
      <c r="N221" s="14">
        <v>43293</v>
      </c>
      <c r="P221" t="s">
        <v>1369</v>
      </c>
      <c r="Q221" t="s">
        <v>289</v>
      </c>
      <c r="R221" t="s">
        <v>291</v>
      </c>
      <c r="T221" t="s">
        <v>60</v>
      </c>
      <c r="U221" t="s">
        <v>18</v>
      </c>
      <c r="V221" s="6" t="s">
        <v>2951</v>
      </c>
      <c r="W221" t="s">
        <v>2878</v>
      </c>
      <c r="X221" t="str">
        <f>"515-314-5481"</f>
        <v>515-314-5481</v>
      </c>
      <c r="Y221" t="s">
        <v>21</v>
      </c>
      <c r="Z221" t="s">
        <v>116</v>
      </c>
    </row>
    <row r="222" spans="1:26" x14ac:dyDescent="0.25">
      <c r="A222" t="str">
        <f>"12-12-33"</f>
        <v>12-12-33</v>
      </c>
      <c r="B222" t="s">
        <v>1378</v>
      </c>
      <c r="C222" t="s">
        <v>2553</v>
      </c>
      <c r="D222" t="s">
        <v>1379</v>
      </c>
      <c r="E222" t="s">
        <v>60</v>
      </c>
      <c r="F222" t="s">
        <v>202</v>
      </c>
      <c r="G222" t="s">
        <v>851</v>
      </c>
      <c r="H222" t="s">
        <v>852</v>
      </c>
      <c r="I222" t="str">
        <f>"515-490-9001"</f>
        <v>515-490-9001</v>
      </c>
      <c r="J222" s="11">
        <v>1</v>
      </c>
      <c r="K222" s="11">
        <v>150</v>
      </c>
      <c r="L222" s="11">
        <v>150</v>
      </c>
      <c r="M222" s="11" t="s">
        <v>3149</v>
      </c>
      <c r="N222" s="14">
        <v>44070</v>
      </c>
      <c r="P222" t="s">
        <v>1380</v>
      </c>
      <c r="Q222" t="s">
        <v>1203</v>
      </c>
      <c r="R222" t="s">
        <v>1204</v>
      </c>
      <c r="T222" t="s">
        <v>803</v>
      </c>
      <c r="U222" t="s">
        <v>237</v>
      </c>
      <c r="V222" s="6" t="s">
        <v>2977</v>
      </c>
      <c r="W222" t="s">
        <v>1205</v>
      </c>
      <c r="X222" t="str">
        <f>"816-561-1033"</f>
        <v>816-561-1033</v>
      </c>
      <c r="Y222" t="s">
        <v>151</v>
      </c>
      <c r="Z222" t="s">
        <v>44</v>
      </c>
    </row>
    <row r="223" spans="1:26" x14ac:dyDescent="0.25">
      <c r="A223" t="str">
        <f>"12-12-35"</f>
        <v>12-12-35</v>
      </c>
      <c r="C223" t="s">
        <v>2856</v>
      </c>
      <c r="D223" t="s">
        <v>1356</v>
      </c>
      <c r="E223" t="s">
        <v>60</v>
      </c>
      <c r="F223" t="s">
        <v>202</v>
      </c>
      <c r="G223" t="s">
        <v>203</v>
      </c>
      <c r="H223" t="s">
        <v>204</v>
      </c>
      <c r="I223" t="str">
        <f>"515-244-8308"</f>
        <v>515-244-8308</v>
      </c>
      <c r="J223" s="11">
        <v>1</v>
      </c>
      <c r="K223" s="11">
        <v>33</v>
      </c>
      <c r="L223" s="11">
        <v>33</v>
      </c>
      <c r="M223" s="11" t="s">
        <v>3050</v>
      </c>
      <c r="N223" s="14">
        <v>44117</v>
      </c>
      <c r="P223" t="s">
        <v>1381</v>
      </c>
      <c r="Q223" t="s">
        <v>1382</v>
      </c>
      <c r="R223" t="s">
        <v>1383</v>
      </c>
      <c r="T223" t="s">
        <v>1384</v>
      </c>
      <c r="U223" t="s">
        <v>18</v>
      </c>
      <c r="V223" s="6" t="s">
        <v>2986</v>
      </c>
      <c r="W223" t="s">
        <v>1385</v>
      </c>
      <c r="X223" t="str">
        <f>"515-262-4000"</f>
        <v>515-262-4000</v>
      </c>
      <c r="Y223" t="s">
        <v>21</v>
      </c>
      <c r="Z223" t="s">
        <v>44</v>
      </c>
    </row>
    <row r="224" spans="1:26" x14ac:dyDescent="0.25">
      <c r="A224" t="s">
        <v>1408</v>
      </c>
      <c r="B224" t="str">
        <f>"92-38"</f>
        <v>92-38</v>
      </c>
      <c r="C224" t="s">
        <v>2561</v>
      </c>
      <c r="D224" t="s">
        <v>1409</v>
      </c>
      <c r="E224" t="s">
        <v>60</v>
      </c>
      <c r="F224" t="s">
        <v>202</v>
      </c>
      <c r="G224" t="s">
        <v>1026</v>
      </c>
      <c r="H224" t="s">
        <v>1027</v>
      </c>
      <c r="I224" t="str">
        <f>"651-291-1750"</f>
        <v>651-291-1750</v>
      </c>
      <c r="J224" s="11">
        <v>2</v>
      </c>
      <c r="K224" s="11">
        <v>10</v>
      </c>
      <c r="L224" s="11">
        <v>10</v>
      </c>
      <c r="M224" s="11" t="s">
        <v>3049</v>
      </c>
      <c r="N224" s="14">
        <v>43747</v>
      </c>
      <c r="P224" t="s">
        <v>1410</v>
      </c>
      <c r="Q224" t="s">
        <v>1027</v>
      </c>
      <c r="R224" t="s">
        <v>1029</v>
      </c>
      <c r="T224" t="s">
        <v>30</v>
      </c>
      <c r="U224" t="s">
        <v>31</v>
      </c>
      <c r="V224" s="6" t="s">
        <v>2964</v>
      </c>
      <c r="W224" t="s">
        <v>1030</v>
      </c>
      <c r="X224" t="str">
        <f>"651-291-1750"</f>
        <v>651-291-1750</v>
      </c>
      <c r="Y224" t="s">
        <v>151</v>
      </c>
      <c r="Z224" t="s">
        <v>103</v>
      </c>
    </row>
    <row r="225" spans="1:26" x14ac:dyDescent="0.25">
      <c r="A225" t="s">
        <v>1413</v>
      </c>
      <c r="B225" t="s">
        <v>1413</v>
      </c>
      <c r="C225" t="s">
        <v>2857</v>
      </c>
      <c r="D225" t="s">
        <v>1414</v>
      </c>
      <c r="E225" t="s">
        <v>60</v>
      </c>
      <c r="F225" t="s">
        <v>202</v>
      </c>
      <c r="G225" t="s">
        <v>1415</v>
      </c>
      <c r="H225" t="s">
        <v>1416</v>
      </c>
      <c r="I225" t="str">
        <f>"515-447-8284"</f>
        <v>515-447-8284</v>
      </c>
      <c r="J225" s="11">
        <v>0</v>
      </c>
      <c r="K225" s="11">
        <v>7</v>
      </c>
      <c r="L225" s="11">
        <v>7</v>
      </c>
      <c r="M225" s="11" t="s">
        <v>3149</v>
      </c>
      <c r="N225" s="14">
        <v>44070</v>
      </c>
      <c r="P225" t="s">
        <v>1417</v>
      </c>
      <c r="Q225" t="s">
        <v>1418</v>
      </c>
      <c r="R225" t="s">
        <v>1419</v>
      </c>
      <c r="S225" t="s">
        <v>1420</v>
      </c>
      <c r="T225" t="s">
        <v>17</v>
      </c>
      <c r="U225" t="s">
        <v>18</v>
      </c>
      <c r="V225" s="6" t="s">
        <v>2884</v>
      </c>
      <c r="W225" t="s">
        <v>1421</v>
      </c>
      <c r="X225" t="str">
        <f>"515-664-6268"</f>
        <v>515-664-6268</v>
      </c>
      <c r="Y225" t="s">
        <v>151</v>
      </c>
      <c r="Z225" t="s">
        <v>20</v>
      </c>
    </row>
    <row r="226" spans="1:26" x14ac:dyDescent="0.25">
      <c r="A226" t="str">
        <f>"13-13-14"</f>
        <v>13-13-14</v>
      </c>
      <c r="C226" t="s">
        <v>2563</v>
      </c>
      <c r="D226" t="s">
        <v>1425</v>
      </c>
      <c r="E226" t="s">
        <v>60</v>
      </c>
      <c r="F226" t="s">
        <v>202</v>
      </c>
      <c r="G226" t="s">
        <v>118</v>
      </c>
      <c r="H226" t="s">
        <v>119</v>
      </c>
      <c r="I226" t="str">
        <f>"515-246-8016"</f>
        <v>515-246-8016</v>
      </c>
      <c r="J226" s="11">
        <v>1</v>
      </c>
      <c r="K226" s="11">
        <v>36</v>
      </c>
      <c r="L226" s="11">
        <v>32</v>
      </c>
      <c r="M226" s="11" t="s">
        <v>3050</v>
      </c>
      <c r="N226" s="14">
        <v>43664</v>
      </c>
      <c r="P226" t="s">
        <v>118</v>
      </c>
      <c r="Q226" t="s">
        <v>119</v>
      </c>
      <c r="R226" t="s">
        <v>121</v>
      </c>
      <c r="S226" t="s">
        <v>100</v>
      </c>
      <c r="T226" t="s">
        <v>60</v>
      </c>
      <c r="U226" t="s">
        <v>18</v>
      </c>
      <c r="V226" s="6" t="s">
        <v>2893</v>
      </c>
      <c r="W226" t="s">
        <v>122</v>
      </c>
      <c r="X226" t="str">
        <f>"515-246-8016"</f>
        <v>515-246-8016</v>
      </c>
      <c r="Y226" t="s">
        <v>21</v>
      </c>
      <c r="Z226" t="s">
        <v>103</v>
      </c>
    </row>
    <row r="227" spans="1:26" x14ac:dyDescent="0.25">
      <c r="A227" t="str">
        <f>"13-13-15"</f>
        <v>13-13-15</v>
      </c>
      <c r="B227" t="s">
        <v>1426</v>
      </c>
      <c r="C227" t="s">
        <v>2564</v>
      </c>
      <c r="D227" t="s">
        <v>1427</v>
      </c>
      <c r="E227" t="s">
        <v>60</v>
      </c>
      <c r="F227" t="s">
        <v>202</v>
      </c>
      <c r="G227" t="s">
        <v>1026</v>
      </c>
      <c r="H227" t="s">
        <v>1027</v>
      </c>
      <c r="I227" t="str">
        <f>"651-291-1750"</f>
        <v>651-291-1750</v>
      </c>
      <c r="J227" s="11">
        <v>2</v>
      </c>
      <c r="K227" s="11">
        <v>30</v>
      </c>
      <c r="L227" s="11">
        <v>30</v>
      </c>
      <c r="M227" s="11" t="s">
        <v>3050</v>
      </c>
      <c r="N227" s="14">
        <v>44046</v>
      </c>
      <c r="P227" t="s">
        <v>1428</v>
      </c>
      <c r="Q227" t="s">
        <v>1027</v>
      </c>
      <c r="R227" t="s">
        <v>1029</v>
      </c>
      <c r="T227" t="s">
        <v>30</v>
      </c>
      <c r="U227" t="s">
        <v>31</v>
      </c>
      <c r="V227" s="6" t="s">
        <v>2964</v>
      </c>
      <c r="W227" t="s">
        <v>1030</v>
      </c>
      <c r="X227" t="str">
        <f>"651-291-1750"</f>
        <v>651-291-1750</v>
      </c>
      <c r="Y227" t="s">
        <v>151</v>
      </c>
      <c r="Z227" t="s">
        <v>103</v>
      </c>
    </row>
    <row r="228" spans="1:26" x14ac:dyDescent="0.25">
      <c r="A228" t="str">
        <f>"13-13-18"</f>
        <v>13-13-18</v>
      </c>
      <c r="C228" t="s">
        <v>2565</v>
      </c>
      <c r="D228" t="s">
        <v>1429</v>
      </c>
      <c r="E228" t="s">
        <v>60</v>
      </c>
      <c r="F228" t="s">
        <v>202</v>
      </c>
      <c r="G228" t="s">
        <v>118</v>
      </c>
      <c r="H228" t="s">
        <v>119</v>
      </c>
      <c r="I228" t="str">
        <f>"515-246-8016"</f>
        <v>515-246-8016</v>
      </c>
      <c r="J228" s="11">
        <v>1</v>
      </c>
      <c r="K228" s="11">
        <v>62</v>
      </c>
      <c r="L228" s="11">
        <v>55</v>
      </c>
      <c r="M228" s="11" t="s">
        <v>3050</v>
      </c>
      <c r="N228" s="14">
        <v>43663</v>
      </c>
      <c r="P228" t="s">
        <v>118</v>
      </c>
      <c r="Q228" t="s">
        <v>119</v>
      </c>
      <c r="R228" t="s">
        <v>121</v>
      </c>
      <c r="S228" t="s">
        <v>100</v>
      </c>
      <c r="T228" t="s">
        <v>60</v>
      </c>
      <c r="U228" t="s">
        <v>18</v>
      </c>
      <c r="V228" s="6" t="s">
        <v>2893</v>
      </c>
      <c r="W228" t="s">
        <v>122</v>
      </c>
      <c r="X228" t="str">
        <f>"515-246-8016"</f>
        <v>515-246-8016</v>
      </c>
      <c r="Y228" t="s">
        <v>21</v>
      </c>
      <c r="Z228" t="s">
        <v>103</v>
      </c>
    </row>
    <row r="229" spans="1:26" x14ac:dyDescent="0.25">
      <c r="A229" t="str">
        <f>"13-13-21"</f>
        <v>13-13-21</v>
      </c>
      <c r="C229" t="s">
        <v>2566</v>
      </c>
      <c r="D229" t="s">
        <v>1430</v>
      </c>
      <c r="E229" t="s">
        <v>60</v>
      </c>
      <c r="F229" t="s">
        <v>202</v>
      </c>
      <c r="G229" t="s">
        <v>524</v>
      </c>
      <c r="H229" t="s">
        <v>982</v>
      </c>
      <c r="I229" t="str">
        <f>"515-221-6616"</f>
        <v>515-221-6616</v>
      </c>
      <c r="J229" s="11">
        <v>2</v>
      </c>
      <c r="K229" s="11">
        <v>65</v>
      </c>
      <c r="L229" s="11">
        <v>65</v>
      </c>
      <c r="M229" s="11" t="s">
        <v>3050</v>
      </c>
      <c r="N229" s="14">
        <v>43362</v>
      </c>
      <c r="P229" t="s">
        <v>1431</v>
      </c>
      <c r="Q229" t="s">
        <v>527</v>
      </c>
      <c r="R229" t="s">
        <v>528</v>
      </c>
      <c r="T229" t="s">
        <v>17</v>
      </c>
      <c r="U229" t="s">
        <v>18</v>
      </c>
      <c r="V229" s="6" t="s">
        <v>2928</v>
      </c>
      <c r="W229" t="s">
        <v>529</v>
      </c>
      <c r="X229" t="str">
        <f>"515-280-2053"</f>
        <v>515-280-2053</v>
      </c>
      <c r="Y229" t="s">
        <v>21</v>
      </c>
      <c r="Z229" t="s">
        <v>116</v>
      </c>
    </row>
    <row r="230" spans="1:26" x14ac:dyDescent="0.25">
      <c r="A230" t="str">
        <f>"13-13-22"</f>
        <v>13-13-22</v>
      </c>
      <c r="C230" t="s">
        <v>2786</v>
      </c>
      <c r="D230" t="s">
        <v>981</v>
      </c>
      <c r="E230" t="s">
        <v>60</v>
      </c>
      <c r="F230" t="s">
        <v>202</v>
      </c>
      <c r="G230" t="s">
        <v>524</v>
      </c>
      <c r="H230" t="s">
        <v>525</v>
      </c>
      <c r="I230" t="str">
        <f>"515-280-2071"</f>
        <v>515-280-2071</v>
      </c>
      <c r="J230" s="11">
        <v>2</v>
      </c>
      <c r="K230" s="11">
        <v>72</v>
      </c>
      <c r="L230" s="11">
        <v>72</v>
      </c>
      <c r="M230" s="11" t="s">
        <v>3050</v>
      </c>
      <c r="N230" s="14">
        <v>43389</v>
      </c>
      <c r="P230" t="s">
        <v>1432</v>
      </c>
      <c r="Q230" t="s">
        <v>527</v>
      </c>
      <c r="R230" t="s">
        <v>528</v>
      </c>
      <c r="T230" t="s">
        <v>17</v>
      </c>
      <c r="U230" t="s">
        <v>18</v>
      </c>
      <c r="V230" s="6" t="s">
        <v>2928</v>
      </c>
      <c r="W230" t="s">
        <v>529</v>
      </c>
      <c r="X230" t="str">
        <f>"515-280-2053"</f>
        <v>515-280-2053</v>
      </c>
      <c r="Y230" t="s">
        <v>21</v>
      </c>
      <c r="Z230" t="s">
        <v>116</v>
      </c>
    </row>
    <row r="231" spans="1:26" x14ac:dyDescent="0.25">
      <c r="A231" t="str">
        <f>"13-13-30"</f>
        <v>13-13-30</v>
      </c>
      <c r="C231" t="s">
        <v>2570</v>
      </c>
      <c r="D231" t="s">
        <v>1443</v>
      </c>
      <c r="E231" t="s">
        <v>60</v>
      </c>
      <c r="F231" t="s">
        <v>202</v>
      </c>
      <c r="G231" t="s">
        <v>851</v>
      </c>
      <c r="H231" t="s">
        <v>852</v>
      </c>
      <c r="I231" t="str">
        <f>"515-490-9001"</f>
        <v>515-490-9001</v>
      </c>
      <c r="J231" s="11">
        <v>1</v>
      </c>
      <c r="K231" s="11">
        <v>139</v>
      </c>
      <c r="L231" s="11">
        <v>139</v>
      </c>
      <c r="M231" s="11" t="s">
        <v>3050</v>
      </c>
      <c r="N231" s="14">
        <v>43671</v>
      </c>
      <c r="P231" t="s">
        <v>1444</v>
      </c>
      <c r="Q231" t="s">
        <v>1203</v>
      </c>
      <c r="R231" t="s">
        <v>1204</v>
      </c>
      <c r="T231" t="s">
        <v>803</v>
      </c>
      <c r="U231" t="s">
        <v>237</v>
      </c>
      <c r="V231" s="6" t="s">
        <v>2977</v>
      </c>
      <c r="W231" t="s">
        <v>1205</v>
      </c>
      <c r="X231" t="str">
        <f>"816-561-1033"</f>
        <v>816-561-1033</v>
      </c>
      <c r="Y231" t="s">
        <v>151</v>
      </c>
      <c r="Z231" t="s">
        <v>44</v>
      </c>
    </row>
    <row r="232" spans="1:26" x14ac:dyDescent="0.25">
      <c r="A232" t="str">
        <f>"15-15-13"</f>
        <v>15-15-13</v>
      </c>
      <c r="C232" t="s">
        <v>2596</v>
      </c>
      <c r="D232" t="s">
        <v>1568</v>
      </c>
      <c r="E232" t="s">
        <v>60</v>
      </c>
      <c r="F232" t="s">
        <v>202</v>
      </c>
      <c r="G232" t="s">
        <v>834</v>
      </c>
      <c r="H232" t="s">
        <v>1569</v>
      </c>
      <c r="I232" t="str">
        <f>"515-822-4145"</f>
        <v>515-822-4145</v>
      </c>
      <c r="J232" s="11">
        <v>1</v>
      </c>
      <c r="K232" s="11">
        <v>56</v>
      </c>
      <c r="L232" s="11">
        <v>50</v>
      </c>
      <c r="M232" s="11" t="s">
        <v>3050</v>
      </c>
      <c r="N232" s="14">
        <v>43193</v>
      </c>
      <c r="P232" t="s">
        <v>1570</v>
      </c>
      <c r="Q232" t="s">
        <v>837</v>
      </c>
      <c r="R232" t="s">
        <v>838</v>
      </c>
      <c r="T232" t="s">
        <v>60</v>
      </c>
      <c r="U232" t="s">
        <v>18</v>
      </c>
      <c r="V232" s="6" t="s">
        <v>2952</v>
      </c>
      <c r="W232" t="s">
        <v>839</v>
      </c>
      <c r="X232" t="str">
        <f>"515-554-9773"</f>
        <v>515-554-9773</v>
      </c>
      <c r="Y232" t="s">
        <v>21</v>
      </c>
      <c r="Z232" t="s">
        <v>20</v>
      </c>
    </row>
    <row r="233" spans="1:26" x14ac:dyDescent="0.25">
      <c r="A233" t="str">
        <f>"15-15-21"</f>
        <v>15-15-21</v>
      </c>
      <c r="C233" t="s">
        <v>2603</v>
      </c>
      <c r="D233" t="s">
        <v>1598</v>
      </c>
      <c r="E233" t="s">
        <v>60</v>
      </c>
      <c r="F233" t="s">
        <v>202</v>
      </c>
      <c r="G233" t="s">
        <v>1153</v>
      </c>
      <c r="H233" t="s">
        <v>1154</v>
      </c>
      <c r="I233" t="str">
        <f>"513-964-1151"</f>
        <v>513-964-1151</v>
      </c>
      <c r="J233" s="11">
        <v>1</v>
      </c>
      <c r="K233" s="11">
        <v>52</v>
      </c>
      <c r="L233" s="11">
        <v>46</v>
      </c>
      <c r="M233" s="11" t="s">
        <v>3050</v>
      </c>
      <c r="N233" s="14">
        <v>43307</v>
      </c>
      <c r="P233" t="s">
        <v>1599</v>
      </c>
      <c r="Q233" t="s">
        <v>1156</v>
      </c>
      <c r="R233" t="s">
        <v>1157</v>
      </c>
      <c r="S233" t="s">
        <v>1158</v>
      </c>
      <c r="T233" t="s">
        <v>1159</v>
      </c>
      <c r="U233" t="s">
        <v>1160</v>
      </c>
      <c r="V233" s="6" t="s">
        <v>2973</v>
      </c>
      <c r="W233" t="s">
        <v>1161</v>
      </c>
      <c r="X233" t="str">
        <f>"513-964-1140"</f>
        <v>513-964-1140</v>
      </c>
      <c r="Y233" t="s">
        <v>21</v>
      </c>
      <c r="Z233" t="s">
        <v>103</v>
      </c>
    </row>
    <row r="234" spans="1:26" x14ac:dyDescent="0.25">
      <c r="A234" t="str">
        <f>"15-15-25"</f>
        <v>15-15-25</v>
      </c>
      <c r="C234" t="s">
        <v>2604</v>
      </c>
      <c r="D234" t="s">
        <v>1600</v>
      </c>
      <c r="E234" t="s">
        <v>60</v>
      </c>
      <c r="F234" t="s">
        <v>202</v>
      </c>
      <c r="G234" t="s">
        <v>524</v>
      </c>
      <c r="H234" t="s">
        <v>1601</v>
      </c>
      <c r="I234" t="str">
        <f>"515-221-6699"</f>
        <v>515-221-6699</v>
      </c>
      <c r="J234" s="11">
        <v>10</v>
      </c>
      <c r="K234" s="11">
        <v>142</v>
      </c>
      <c r="L234" s="11">
        <v>142</v>
      </c>
      <c r="M234" s="11" t="s">
        <v>3050</v>
      </c>
      <c r="N234" s="14">
        <v>43615</v>
      </c>
      <c r="P234" t="s">
        <v>1602</v>
      </c>
      <c r="Q234" t="s">
        <v>1603</v>
      </c>
      <c r="R234" t="s">
        <v>1604</v>
      </c>
      <c r="T234" t="s">
        <v>1605</v>
      </c>
      <c r="U234" t="s">
        <v>923</v>
      </c>
      <c r="V234" s="6" t="s">
        <v>3002</v>
      </c>
      <c r="W234" t="s">
        <v>1606</v>
      </c>
      <c r="X234" t="str">
        <f>"949-236-8113"</f>
        <v>949-236-8113</v>
      </c>
      <c r="Y234" t="s">
        <v>1607</v>
      </c>
      <c r="Z234" t="s">
        <v>116</v>
      </c>
    </row>
    <row r="235" spans="1:26" x14ac:dyDescent="0.25">
      <c r="A235" t="s">
        <v>1617</v>
      </c>
      <c r="B235" t="s">
        <v>1617</v>
      </c>
      <c r="C235" t="s">
        <v>2608</v>
      </c>
      <c r="D235" t="s">
        <v>1618</v>
      </c>
      <c r="E235" t="s">
        <v>60</v>
      </c>
      <c r="F235" t="s">
        <v>202</v>
      </c>
      <c r="G235" t="s">
        <v>1415</v>
      </c>
      <c r="H235" t="s">
        <v>1416</v>
      </c>
      <c r="I235" t="str">
        <f>"515-447-8284"</f>
        <v>515-447-8284</v>
      </c>
      <c r="J235" s="11">
        <v>0</v>
      </c>
      <c r="K235" s="11">
        <v>5</v>
      </c>
      <c r="L235" s="11">
        <v>5</v>
      </c>
      <c r="M235" s="11" t="s">
        <v>3149</v>
      </c>
      <c r="N235" s="14">
        <v>44011</v>
      </c>
      <c r="P235" t="s">
        <v>1417</v>
      </c>
      <c r="Q235" t="s">
        <v>1418</v>
      </c>
      <c r="R235" t="s">
        <v>1419</v>
      </c>
      <c r="S235" t="s">
        <v>1420</v>
      </c>
      <c r="T235" t="s">
        <v>17</v>
      </c>
      <c r="U235" t="s">
        <v>18</v>
      </c>
      <c r="V235" s="6" t="s">
        <v>2884</v>
      </c>
      <c r="W235" t="s">
        <v>1421</v>
      </c>
      <c r="X235" t="str">
        <f>"515-664-6268"</f>
        <v>515-664-6268</v>
      </c>
      <c r="Y235" t="s">
        <v>21</v>
      </c>
      <c r="Z235" t="s">
        <v>20</v>
      </c>
    </row>
    <row r="236" spans="1:26" x14ac:dyDescent="0.25">
      <c r="A236" t="str">
        <f>"16-07"</f>
        <v>16-07</v>
      </c>
      <c r="C236" t="s">
        <v>2860</v>
      </c>
      <c r="D236" t="s">
        <v>1649</v>
      </c>
      <c r="E236" t="s">
        <v>60</v>
      </c>
      <c r="F236" t="s">
        <v>202</v>
      </c>
      <c r="G236" t="s">
        <v>203</v>
      </c>
      <c r="H236" t="s">
        <v>204</v>
      </c>
      <c r="I236" t="str">
        <f>"515-244-8308"</f>
        <v>515-244-8308</v>
      </c>
      <c r="J236" s="11">
        <v>1</v>
      </c>
      <c r="K236" s="11">
        <v>30</v>
      </c>
      <c r="L236" s="11">
        <v>27</v>
      </c>
      <c r="M236" s="11" t="s">
        <v>3050</v>
      </c>
      <c r="N236" s="14">
        <v>43718</v>
      </c>
      <c r="P236" t="s">
        <v>1650</v>
      </c>
      <c r="Q236" t="s">
        <v>204</v>
      </c>
      <c r="R236" t="s">
        <v>234</v>
      </c>
      <c r="S236" t="s">
        <v>235</v>
      </c>
      <c r="T236" t="s">
        <v>60</v>
      </c>
      <c r="U236" t="s">
        <v>18</v>
      </c>
      <c r="V236" s="6" t="s">
        <v>2904</v>
      </c>
      <c r="W236" t="s">
        <v>236</v>
      </c>
      <c r="X236" t="str">
        <f>"515-244-8308"</f>
        <v>515-244-8308</v>
      </c>
      <c r="Y236" t="s">
        <v>21</v>
      </c>
      <c r="Z236" t="s">
        <v>44</v>
      </c>
    </row>
    <row r="237" spans="1:26" x14ac:dyDescent="0.25">
      <c r="A237" t="str">
        <f>"16-16"</f>
        <v>16-16</v>
      </c>
      <c r="C237" t="s">
        <v>2613</v>
      </c>
      <c r="D237" t="s">
        <v>1653</v>
      </c>
      <c r="E237" t="s">
        <v>60</v>
      </c>
      <c r="F237" t="s">
        <v>202</v>
      </c>
      <c r="G237" t="s">
        <v>851</v>
      </c>
      <c r="H237" t="s">
        <v>852</v>
      </c>
      <c r="I237" t="str">
        <f>"515-490-9001"</f>
        <v>515-490-9001</v>
      </c>
      <c r="J237" s="11">
        <v>1</v>
      </c>
      <c r="K237" s="11">
        <v>75</v>
      </c>
      <c r="L237" s="11">
        <v>75</v>
      </c>
      <c r="M237" s="11" t="s">
        <v>3050</v>
      </c>
      <c r="N237" s="14">
        <v>43599</v>
      </c>
      <c r="P237" t="s">
        <v>1654</v>
      </c>
      <c r="Q237" t="s">
        <v>1655</v>
      </c>
      <c r="R237" t="s">
        <v>1653</v>
      </c>
      <c r="T237" t="s">
        <v>60</v>
      </c>
      <c r="U237" t="s">
        <v>18</v>
      </c>
      <c r="V237" s="6" t="s">
        <v>3007</v>
      </c>
      <c r="W237" t="s">
        <v>1656</v>
      </c>
      <c r="X237" t="str">
        <f>"515-255-9399"</f>
        <v>515-255-9399</v>
      </c>
      <c r="Y237" t="s">
        <v>151</v>
      </c>
      <c r="Z237" t="s">
        <v>44</v>
      </c>
    </row>
    <row r="238" spans="1:26" x14ac:dyDescent="0.25">
      <c r="A238" t="str">
        <f>"16-35"</f>
        <v>16-35</v>
      </c>
      <c r="C238" t="s">
        <v>2619</v>
      </c>
      <c r="D238" t="s">
        <v>1670</v>
      </c>
      <c r="E238" t="s">
        <v>60</v>
      </c>
      <c r="F238" t="s">
        <v>202</v>
      </c>
      <c r="G238" t="s">
        <v>203</v>
      </c>
      <c r="H238" t="s">
        <v>204</v>
      </c>
      <c r="I238" t="str">
        <f>"515-244-8308"</f>
        <v>515-244-8308</v>
      </c>
      <c r="J238" s="11">
        <v>19</v>
      </c>
      <c r="K238" s="11">
        <v>76</v>
      </c>
      <c r="L238" s="11">
        <v>76</v>
      </c>
      <c r="M238" s="11" t="s">
        <v>3050</v>
      </c>
      <c r="N238" s="14">
        <v>43846</v>
      </c>
      <c r="P238" t="s">
        <v>1671</v>
      </c>
      <c r="Q238" t="s">
        <v>204</v>
      </c>
      <c r="R238" t="s">
        <v>234</v>
      </c>
      <c r="S238" t="s">
        <v>235</v>
      </c>
      <c r="T238" t="s">
        <v>60</v>
      </c>
      <c r="U238" t="s">
        <v>18</v>
      </c>
      <c r="V238" s="6" t="s">
        <v>2904</v>
      </c>
      <c r="W238" t="s">
        <v>236</v>
      </c>
      <c r="X238" t="str">
        <f>"515-244-8308"</f>
        <v>515-244-8308</v>
      </c>
      <c r="Y238" t="s">
        <v>151</v>
      </c>
      <c r="Z238" t="s">
        <v>44</v>
      </c>
    </row>
    <row r="239" spans="1:26" x14ac:dyDescent="0.25">
      <c r="A239" t="s">
        <v>1672</v>
      </c>
      <c r="C239" t="s">
        <v>2619</v>
      </c>
      <c r="D239" t="s">
        <v>1670</v>
      </c>
      <c r="E239" t="s">
        <v>60</v>
      </c>
      <c r="F239" t="s">
        <v>202</v>
      </c>
      <c r="G239" t="s">
        <v>203</v>
      </c>
      <c r="H239" t="s">
        <v>204</v>
      </c>
      <c r="I239" t="str">
        <f>"515-244-8308"</f>
        <v>515-244-8308</v>
      </c>
      <c r="J239" s="11">
        <v>32</v>
      </c>
      <c r="K239" s="11">
        <v>61</v>
      </c>
      <c r="L239" s="11">
        <v>61</v>
      </c>
      <c r="M239" s="11" t="s">
        <v>3050</v>
      </c>
      <c r="N239" s="14">
        <v>43848</v>
      </c>
      <c r="P239" t="s">
        <v>1671</v>
      </c>
      <c r="Q239" t="s">
        <v>204</v>
      </c>
      <c r="R239" t="s">
        <v>234</v>
      </c>
      <c r="S239" t="s">
        <v>235</v>
      </c>
      <c r="T239" t="s">
        <v>60</v>
      </c>
      <c r="U239" t="s">
        <v>18</v>
      </c>
      <c r="V239" s="6" t="s">
        <v>2904</v>
      </c>
      <c r="W239" t="s">
        <v>236</v>
      </c>
      <c r="X239" t="str">
        <f>"515-244-8308"</f>
        <v>515-244-8308</v>
      </c>
      <c r="Y239" t="s">
        <v>151</v>
      </c>
      <c r="Z239" t="s">
        <v>44</v>
      </c>
    </row>
    <row r="240" spans="1:26" x14ac:dyDescent="0.25">
      <c r="A240" t="str">
        <f>"17-12"</f>
        <v>17-12</v>
      </c>
      <c r="C240" t="s">
        <v>2625</v>
      </c>
      <c r="D240" t="s">
        <v>1691</v>
      </c>
      <c r="E240" t="s">
        <v>60</v>
      </c>
      <c r="F240" t="s">
        <v>202</v>
      </c>
      <c r="G240" t="s">
        <v>1680</v>
      </c>
      <c r="H240" t="s">
        <v>1371</v>
      </c>
      <c r="I240" t="str">
        <f>"913-671-3300"</f>
        <v>913-671-3300</v>
      </c>
      <c r="J240" s="11">
        <v>1</v>
      </c>
      <c r="K240" s="11">
        <v>40</v>
      </c>
      <c r="L240" s="11">
        <v>40</v>
      </c>
      <c r="M240" s="11" t="s">
        <v>3050</v>
      </c>
      <c r="N240" s="15" t="s">
        <v>3158</v>
      </c>
      <c r="P240" t="s">
        <v>1692</v>
      </c>
      <c r="Q240" t="s">
        <v>3155</v>
      </c>
      <c r="R240" t="s">
        <v>1693</v>
      </c>
      <c r="T240" t="s">
        <v>1647</v>
      </c>
      <c r="U240" t="s">
        <v>237</v>
      </c>
      <c r="V240" s="6" t="s">
        <v>3012</v>
      </c>
      <c r="W240" t="s">
        <v>1694</v>
      </c>
      <c r="X240" t="s">
        <v>3156</v>
      </c>
      <c r="Y240" t="s">
        <v>21</v>
      </c>
      <c r="Z240" t="s">
        <v>103</v>
      </c>
    </row>
    <row r="241" spans="1:26" x14ac:dyDescent="0.25">
      <c r="A241" t="str">
        <f>"90-13"</f>
        <v>90-13</v>
      </c>
      <c r="C241" t="s">
        <v>2642</v>
      </c>
      <c r="D241" t="s">
        <v>1769</v>
      </c>
      <c r="E241" t="s">
        <v>60</v>
      </c>
      <c r="F241" t="s">
        <v>202</v>
      </c>
      <c r="G241" t="s">
        <v>1770</v>
      </c>
      <c r="H241" t="s">
        <v>1771</v>
      </c>
      <c r="I241" t="str">
        <f>"515-727-9000"</f>
        <v>515-727-9000</v>
      </c>
      <c r="J241" s="11">
        <v>2</v>
      </c>
      <c r="K241" s="11">
        <v>48</v>
      </c>
      <c r="L241" s="11">
        <v>47</v>
      </c>
      <c r="M241" s="11" t="s">
        <v>3051</v>
      </c>
      <c r="N241" s="14">
        <v>43452</v>
      </c>
      <c r="P241" t="s">
        <v>1772</v>
      </c>
      <c r="Q241" t="s">
        <v>1771</v>
      </c>
      <c r="R241" t="s">
        <v>1773</v>
      </c>
      <c r="T241" t="s">
        <v>1631</v>
      </c>
      <c r="U241" t="s">
        <v>18</v>
      </c>
      <c r="V241" s="6" t="s">
        <v>3023</v>
      </c>
      <c r="W241" t="s">
        <v>1774</v>
      </c>
      <c r="X241" t="str">
        <f>"515-727-9000"</f>
        <v>515-727-9000</v>
      </c>
      <c r="Z241" t="s">
        <v>20</v>
      </c>
    </row>
    <row r="242" spans="1:26" x14ac:dyDescent="0.25">
      <c r="A242" t="str">
        <f>"90-55"</f>
        <v>90-55</v>
      </c>
      <c r="C242" t="s">
        <v>2651</v>
      </c>
      <c r="D242" t="s">
        <v>1805</v>
      </c>
      <c r="E242" t="s">
        <v>60</v>
      </c>
      <c r="F242" t="s">
        <v>202</v>
      </c>
      <c r="G242" t="s">
        <v>1806</v>
      </c>
      <c r="H242" t="s">
        <v>1807</v>
      </c>
      <c r="I242" t="str">
        <f>"515-276-7653"</f>
        <v>515-276-7653</v>
      </c>
      <c r="J242" s="11">
        <v>1</v>
      </c>
      <c r="K242" s="11">
        <v>2</v>
      </c>
      <c r="L242" s="11">
        <v>2</v>
      </c>
      <c r="M242" s="11" t="s">
        <v>3051</v>
      </c>
      <c r="N242" s="14">
        <v>43528</v>
      </c>
      <c r="P242" t="s">
        <v>1806</v>
      </c>
      <c r="Q242" t="s">
        <v>1807</v>
      </c>
      <c r="R242" t="s">
        <v>1808</v>
      </c>
      <c r="T242" t="s">
        <v>60</v>
      </c>
      <c r="U242" t="s">
        <v>18</v>
      </c>
      <c r="V242" s="6" t="s">
        <v>3025</v>
      </c>
      <c r="W242" t="s">
        <v>1809</v>
      </c>
      <c r="X242" t="str">
        <f>"515-276-7653"</f>
        <v>515-276-7653</v>
      </c>
      <c r="Z242" t="s">
        <v>62</v>
      </c>
    </row>
    <row r="243" spans="1:26" x14ac:dyDescent="0.25">
      <c r="A243" t="str">
        <f>"90-56"</f>
        <v>90-56</v>
      </c>
      <c r="C243" t="s">
        <v>2652</v>
      </c>
      <c r="D243" t="s">
        <v>1810</v>
      </c>
      <c r="E243" t="s">
        <v>60</v>
      </c>
      <c r="F243" t="s">
        <v>202</v>
      </c>
      <c r="G243" t="s">
        <v>1806</v>
      </c>
      <c r="H243" t="s">
        <v>1807</v>
      </c>
      <c r="I243" t="str">
        <f>"515-276-7653"</f>
        <v>515-276-7653</v>
      </c>
      <c r="J243" s="11">
        <v>1</v>
      </c>
      <c r="K243" s="11">
        <v>2</v>
      </c>
      <c r="L243" s="11">
        <v>2</v>
      </c>
      <c r="M243" s="11" t="s">
        <v>3051</v>
      </c>
      <c r="N243" s="14">
        <v>43528</v>
      </c>
      <c r="P243" t="s">
        <v>1806</v>
      </c>
      <c r="Q243" t="s">
        <v>1807</v>
      </c>
      <c r="R243" t="s">
        <v>1808</v>
      </c>
      <c r="T243" t="s">
        <v>60</v>
      </c>
      <c r="U243" t="s">
        <v>18</v>
      </c>
      <c r="V243" s="6" t="s">
        <v>3025</v>
      </c>
      <c r="W243" t="s">
        <v>1809</v>
      </c>
      <c r="X243" t="str">
        <f>"515-276-7653"</f>
        <v>515-276-7653</v>
      </c>
      <c r="Z243" t="s">
        <v>62</v>
      </c>
    </row>
    <row r="244" spans="1:26" x14ac:dyDescent="0.25">
      <c r="A244" t="str">
        <f>"93-05"</f>
        <v>93-05</v>
      </c>
      <c r="C244" t="s">
        <v>2681</v>
      </c>
      <c r="D244" t="s">
        <v>1929</v>
      </c>
      <c r="E244" t="s">
        <v>60</v>
      </c>
      <c r="F244" t="s">
        <v>202</v>
      </c>
      <c r="G244" t="s">
        <v>1930</v>
      </c>
      <c r="H244" t="s">
        <v>1931</v>
      </c>
      <c r="I244" t="str">
        <f>"312-267-4850"</f>
        <v>312-267-4850</v>
      </c>
      <c r="J244" s="11">
        <v>1</v>
      </c>
      <c r="K244" s="11">
        <v>56</v>
      </c>
      <c r="L244" s="11">
        <v>56</v>
      </c>
      <c r="M244" s="11" t="s">
        <v>3051</v>
      </c>
      <c r="N244" s="14">
        <v>42528</v>
      </c>
      <c r="P244" t="s">
        <v>1932</v>
      </c>
      <c r="Q244" t="s">
        <v>1933</v>
      </c>
      <c r="R244" t="s">
        <v>1934</v>
      </c>
      <c r="S244" t="s">
        <v>1935</v>
      </c>
      <c r="T244" t="s">
        <v>453</v>
      </c>
      <c r="U244" t="s">
        <v>454</v>
      </c>
      <c r="V244" s="6" t="s">
        <v>3035</v>
      </c>
      <c r="W244" t="s">
        <v>1936</v>
      </c>
      <c r="X244" t="str">
        <f>"312-267-4850"</f>
        <v>312-267-4850</v>
      </c>
      <c r="Z244" t="s">
        <v>20</v>
      </c>
    </row>
    <row r="245" spans="1:26" x14ac:dyDescent="0.25">
      <c r="A245" t="str">
        <f>"94-36"</f>
        <v>94-36</v>
      </c>
      <c r="C245" t="s">
        <v>2700</v>
      </c>
      <c r="D245" t="s">
        <v>2013</v>
      </c>
      <c r="E245" t="s">
        <v>60</v>
      </c>
      <c r="F245" t="s">
        <v>202</v>
      </c>
      <c r="G245" t="s">
        <v>2014</v>
      </c>
      <c r="H245" t="s">
        <v>2015</v>
      </c>
      <c r="I245" t="str">
        <f>"515-279-8272"</f>
        <v>515-279-8272</v>
      </c>
      <c r="J245" s="11">
        <v>1</v>
      </c>
      <c r="K245" s="11">
        <v>54</v>
      </c>
      <c r="L245" s="11">
        <v>53</v>
      </c>
      <c r="M245" s="11" t="s">
        <v>3051</v>
      </c>
      <c r="N245" s="14">
        <v>42968</v>
      </c>
      <c r="P245" t="s">
        <v>2014</v>
      </c>
      <c r="Q245" t="s">
        <v>2015</v>
      </c>
      <c r="R245" t="s">
        <v>2016</v>
      </c>
      <c r="T245" t="s">
        <v>2017</v>
      </c>
      <c r="U245" t="s">
        <v>18</v>
      </c>
      <c r="V245" s="6" t="s">
        <v>3039</v>
      </c>
      <c r="W245" t="s">
        <v>2018</v>
      </c>
      <c r="X245" t="str">
        <f>"515-279-8272"</f>
        <v>515-279-8272</v>
      </c>
      <c r="Z245" t="s">
        <v>20</v>
      </c>
    </row>
    <row r="246" spans="1:26" x14ac:dyDescent="0.25">
      <c r="A246" t="str">
        <f>"98-52"</f>
        <v>98-52</v>
      </c>
      <c r="C246" t="s">
        <v>2830</v>
      </c>
      <c r="D246" t="s">
        <v>2214</v>
      </c>
      <c r="E246" t="s">
        <v>60</v>
      </c>
      <c r="F246" t="s">
        <v>202</v>
      </c>
      <c r="G246" t="s">
        <v>118</v>
      </c>
      <c r="H246" t="s">
        <v>119</v>
      </c>
      <c r="I246" t="str">
        <f>"515-246-8016"</f>
        <v>515-246-8016</v>
      </c>
      <c r="J246" s="11">
        <v>2</v>
      </c>
      <c r="K246" s="11">
        <v>36</v>
      </c>
      <c r="L246" s="11">
        <v>36</v>
      </c>
      <c r="M246" s="11" t="s">
        <v>3051</v>
      </c>
      <c r="N246" s="14">
        <v>42508</v>
      </c>
      <c r="P246" t="s">
        <v>2215</v>
      </c>
      <c r="Q246" t="s">
        <v>119</v>
      </c>
      <c r="R246" t="s">
        <v>121</v>
      </c>
      <c r="S246" t="s">
        <v>100</v>
      </c>
      <c r="T246" t="s">
        <v>60</v>
      </c>
      <c r="U246" t="s">
        <v>18</v>
      </c>
      <c r="V246" s="6" t="s">
        <v>2893</v>
      </c>
      <c r="W246" t="s">
        <v>122</v>
      </c>
      <c r="X246" t="str">
        <f>"515-246-8016"</f>
        <v>515-246-8016</v>
      </c>
      <c r="Z246" t="s">
        <v>103</v>
      </c>
    </row>
    <row r="247" spans="1:26" x14ac:dyDescent="0.25">
      <c r="A247" t="str">
        <f>"99-29"</f>
        <v>99-29</v>
      </c>
      <c r="B247" t="s">
        <v>2260</v>
      </c>
      <c r="C247" t="s">
        <v>2769</v>
      </c>
      <c r="D247" t="s">
        <v>2261</v>
      </c>
      <c r="E247" t="s">
        <v>60</v>
      </c>
      <c r="F247" t="s">
        <v>202</v>
      </c>
      <c r="G247" t="s">
        <v>203</v>
      </c>
      <c r="H247" t="s">
        <v>204</v>
      </c>
      <c r="I247" t="str">
        <f>"515-244-8308"</f>
        <v>515-244-8308</v>
      </c>
      <c r="J247" s="11">
        <v>1</v>
      </c>
      <c r="K247" s="11">
        <v>8</v>
      </c>
      <c r="L247" s="11">
        <v>8</v>
      </c>
      <c r="M247" s="11" t="s">
        <v>3049</v>
      </c>
      <c r="N247" s="14">
        <v>43724</v>
      </c>
      <c r="P247" t="s">
        <v>2262</v>
      </c>
      <c r="Q247" t="s">
        <v>204</v>
      </c>
      <c r="R247" t="s">
        <v>234</v>
      </c>
      <c r="S247" t="s">
        <v>235</v>
      </c>
      <c r="T247" t="s">
        <v>60</v>
      </c>
      <c r="U247" t="s">
        <v>18</v>
      </c>
      <c r="V247" s="6" t="s">
        <v>2904</v>
      </c>
      <c r="W247" t="s">
        <v>236</v>
      </c>
      <c r="X247" t="str">
        <f>"515-244-8308"</f>
        <v>515-244-8308</v>
      </c>
      <c r="Y247" t="s">
        <v>151</v>
      </c>
      <c r="Z247" t="s">
        <v>44</v>
      </c>
    </row>
    <row r="248" spans="1:26" x14ac:dyDescent="0.25">
      <c r="A248" t="str">
        <f>"99-59"</f>
        <v>99-59</v>
      </c>
      <c r="C248" t="s">
        <v>2773</v>
      </c>
      <c r="D248" t="s">
        <v>2269</v>
      </c>
      <c r="E248" t="s">
        <v>60</v>
      </c>
      <c r="F248" t="s">
        <v>202</v>
      </c>
      <c r="G248" t="s">
        <v>118</v>
      </c>
      <c r="H248" t="s">
        <v>119</v>
      </c>
      <c r="I248" t="str">
        <f>"515-246-8016"</f>
        <v>515-246-8016</v>
      </c>
      <c r="J248" s="11">
        <v>5</v>
      </c>
      <c r="K248" s="11">
        <v>92</v>
      </c>
      <c r="L248" s="11">
        <v>92</v>
      </c>
      <c r="M248" s="11" t="s">
        <v>3051</v>
      </c>
      <c r="N248" s="14">
        <v>43642</v>
      </c>
      <c r="P248" t="s">
        <v>2270</v>
      </c>
      <c r="Q248" t="s">
        <v>119</v>
      </c>
      <c r="R248" t="s">
        <v>121</v>
      </c>
      <c r="S248" t="s">
        <v>100</v>
      </c>
      <c r="T248" t="s">
        <v>60</v>
      </c>
      <c r="U248" t="s">
        <v>18</v>
      </c>
      <c r="V248" s="6" t="s">
        <v>2893</v>
      </c>
      <c r="W248" t="s">
        <v>122</v>
      </c>
      <c r="X248" t="str">
        <f>"515-246-8016"</f>
        <v>515-246-8016</v>
      </c>
      <c r="Y248" t="s">
        <v>21</v>
      </c>
      <c r="Z248" t="s">
        <v>103</v>
      </c>
    </row>
    <row r="249" spans="1:26" x14ac:dyDescent="0.25">
      <c r="A249" s="12" t="s">
        <v>3150</v>
      </c>
      <c r="C249" t="s">
        <v>3151</v>
      </c>
      <c r="D249" t="s">
        <v>3157</v>
      </c>
      <c r="E249" t="s">
        <v>60</v>
      </c>
      <c r="F249" t="s">
        <v>202</v>
      </c>
      <c r="G249" t="s">
        <v>118</v>
      </c>
      <c r="H249" t="s">
        <v>119</v>
      </c>
      <c r="I249" t="str">
        <f>"515-246-8016"</f>
        <v>515-246-8016</v>
      </c>
      <c r="J249" s="11">
        <v>2</v>
      </c>
      <c r="K249" s="11">
        <v>72</v>
      </c>
      <c r="L249" s="11">
        <v>64</v>
      </c>
      <c r="M249" s="11" t="s">
        <v>3050</v>
      </c>
      <c r="N249" s="15" t="s">
        <v>3158</v>
      </c>
      <c r="P249" t="s">
        <v>3159</v>
      </c>
      <c r="Q249" t="s">
        <v>119</v>
      </c>
      <c r="R249" t="s">
        <v>121</v>
      </c>
      <c r="S249" t="s">
        <v>100</v>
      </c>
      <c r="T249" t="s">
        <v>60</v>
      </c>
      <c r="U249" t="s">
        <v>18</v>
      </c>
      <c r="V249" s="6" t="s">
        <v>2893</v>
      </c>
      <c r="W249" t="s">
        <v>122</v>
      </c>
      <c r="X249" t="str">
        <f>"515-246-8016"</f>
        <v>515-246-8016</v>
      </c>
      <c r="Y249" t="s">
        <v>21</v>
      </c>
      <c r="Z249" t="s">
        <v>103</v>
      </c>
    </row>
    <row r="250" spans="1:26" x14ac:dyDescent="0.25">
      <c r="A250" t="s">
        <v>3152</v>
      </c>
      <c r="C250" t="s">
        <v>3153</v>
      </c>
      <c r="D250" t="s">
        <v>3160</v>
      </c>
      <c r="E250" t="s">
        <v>60</v>
      </c>
      <c r="F250" t="s">
        <v>202</v>
      </c>
      <c r="G250" t="s">
        <v>524</v>
      </c>
      <c r="H250" t="s">
        <v>525</v>
      </c>
      <c r="I250" t="str">
        <f>"515-280-2071"</f>
        <v>515-280-2071</v>
      </c>
      <c r="J250" s="11">
        <v>2</v>
      </c>
      <c r="K250" s="11">
        <v>72</v>
      </c>
      <c r="L250" s="11">
        <v>64</v>
      </c>
      <c r="M250" s="11" t="s">
        <v>3050</v>
      </c>
      <c r="N250" s="15" t="s">
        <v>3158</v>
      </c>
      <c r="P250" t="s">
        <v>3161</v>
      </c>
      <c r="Q250" t="s">
        <v>527</v>
      </c>
      <c r="R250" t="s">
        <v>528</v>
      </c>
      <c r="T250" t="s">
        <v>17</v>
      </c>
      <c r="U250" t="s">
        <v>18</v>
      </c>
      <c r="V250" s="6" t="s">
        <v>2928</v>
      </c>
      <c r="W250" t="s">
        <v>529</v>
      </c>
      <c r="X250" t="str">
        <f>"515-280-2053"</f>
        <v>515-280-2053</v>
      </c>
      <c r="Y250" t="s">
        <v>21</v>
      </c>
      <c r="Z250" t="s">
        <v>116</v>
      </c>
    </row>
    <row r="251" spans="1:26" x14ac:dyDescent="0.25">
      <c r="A251" t="s">
        <v>3154</v>
      </c>
      <c r="C251" t="s">
        <v>2625</v>
      </c>
      <c r="D251" t="s">
        <v>3162</v>
      </c>
      <c r="E251" t="s">
        <v>60</v>
      </c>
      <c r="F251" t="s">
        <v>202</v>
      </c>
      <c r="G251" t="s">
        <v>1680</v>
      </c>
      <c r="H251" t="s">
        <v>1371</v>
      </c>
      <c r="I251" t="str">
        <f>"913-671-3300"</f>
        <v>913-671-3300</v>
      </c>
      <c r="J251" s="11">
        <v>1</v>
      </c>
      <c r="K251" s="11">
        <v>40</v>
      </c>
      <c r="L251" s="11">
        <v>40</v>
      </c>
      <c r="M251" s="11" t="s">
        <v>3050</v>
      </c>
      <c r="N251" s="15" t="s">
        <v>3158</v>
      </c>
      <c r="P251" t="s">
        <v>3163</v>
      </c>
      <c r="Q251" t="s">
        <v>3155</v>
      </c>
      <c r="R251" t="s">
        <v>1693</v>
      </c>
      <c r="T251" t="s">
        <v>1647</v>
      </c>
      <c r="U251" t="s">
        <v>237</v>
      </c>
      <c r="V251" s="6" t="s">
        <v>3012</v>
      </c>
      <c r="W251" t="s">
        <v>1694</v>
      </c>
      <c r="X251" t="s">
        <v>3180</v>
      </c>
      <c r="Y251" t="s">
        <v>21</v>
      </c>
      <c r="Z251" t="s">
        <v>103</v>
      </c>
    </row>
    <row r="252" spans="1:26" x14ac:dyDescent="0.25">
      <c r="A252" t="str">
        <f>"00-03"</f>
        <v>00-03</v>
      </c>
      <c r="C252" t="s">
        <v>2319</v>
      </c>
      <c r="D252" t="s">
        <v>22</v>
      </c>
      <c r="E252" t="s">
        <v>23</v>
      </c>
      <c r="F252" t="s">
        <v>23</v>
      </c>
      <c r="G252" t="s">
        <v>24</v>
      </c>
      <c r="H252" t="s">
        <v>25</v>
      </c>
      <c r="I252" t="str">
        <f>"319-415-7610"</f>
        <v>319-415-7610</v>
      </c>
      <c r="J252" s="11">
        <v>1</v>
      </c>
      <c r="K252" s="11">
        <v>33</v>
      </c>
      <c r="L252" s="11">
        <v>33</v>
      </c>
      <c r="M252" s="11" t="s">
        <v>3051</v>
      </c>
      <c r="N252" s="14">
        <v>42684</v>
      </c>
      <c r="P252" t="s">
        <v>26</v>
      </c>
      <c r="Q252" t="s">
        <v>27</v>
      </c>
      <c r="R252" t="s">
        <v>28</v>
      </c>
      <c r="S252" t="s">
        <v>29</v>
      </c>
      <c r="T252" t="s">
        <v>30</v>
      </c>
      <c r="U252" t="s">
        <v>31</v>
      </c>
      <c r="V252" s="6" t="s">
        <v>2885</v>
      </c>
      <c r="W252" t="s">
        <v>32</v>
      </c>
      <c r="X252" t="str">
        <f>"314-307-1035"</f>
        <v>314-307-1035</v>
      </c>
      <c r="Y252" t="s">
        <v>33</v>
      </c>
      <c r="Z252" t="s">
        <v>20</v>
      </c>
    </row>
    <row r="253" spans="1:26" x14ac:dyDescent="0.25">
      <c r="A253" t="str">
        <f>"02-17"</f>
        <v>02-17</v>
      </c>
      <c r="C253" t="s">
        <v>2346</v>
      </c>
      <c r="D253" t="s">
        <v>279</v>
      </c>
      <c r="E253" t="s">
        <v>23</v>
      </c>
      <c r="F253" t="s">
        <v>23</v>
      </c>
      <c r="G253" t="s">
        <v>280</v>
      </c>
      <c r="H253" t="s">
        <v>281</v>
      </c>
      <c r="I253" t="str">
        <f>"563-557-7010"</f>
        <v>563-557-7010</v>
      </c>
      <c r="J253" s="11">
        <v>8</v>
      </c>
      <c r="K253" s="11">
        <v>64</v>
      </c>
      <c r="L253" s="11">
        <v>47</v>
      </c>
      <c r="M253" s="11" t="s">
        <v>3051</v>
      </c>
      <c r="N253" s="14">
        <v>42695</v>
      </c>
      <c r="P253" t="s">
        <v>282</v>
      </c>
      <c r="Q253" t="s">
        <v>283</v>
      </c>
      <c r="R253" t="s">
        <v>284</v>
      </c>
      <c r="T253" t="s">
        <v>23</v>
      </c>
      <c r="U253" t="s">
        <v>18</v>
      </c>
      <c r="V253" s="6" t="s">
        <v>2907</v>
      </c>
      <c r="W253" t="s">
        <v>285</v>
      </c>
      <c r="X253" t="str">
        <f>"563-590-2351"</f>
        <v>563-590-2351</v>
      </c>
      <c r="Y253" t="s">
        <v>21</v>
      </c>
      <c r="Z253" t="s">
        <v>44</v>
      </c>
    </row>
    <row r="254" spans="1:26" x14ac:dyDescent="0.25">
      <c r="A254" t="str">
        <f>"03-35"</f>
        <v>03-35</v>
      </c>
      <c r="B254" t="s">
        <v>432</v>
      </c>
      <c r="C254" t="s">
        <v>2366</v>
      </c>
      <c r="D254" t="s">
        <v>433</v>
      </c>
      <c r="E254" t="s">
        <v>23</v>
      </c>
      <c r="F254" t="s">
        <v>23</v>
      </c>
      <c r="G254" t="s">
        <v>78</v>
      </c>
      <c r="H254" t="s">
        <v>79</v>
      </c>
      <c r="I254" t="str">
        <f>"515-225-4782"</f>
        <v>515-225-4782</v>
      </c>
      <c r="J254" s="11">
        <v>1</v>
      </c>
      <c r="K254" s="11">
        <v>16</v>
      </c>
      <c r="L254" s="11">
        <v>16</v>
      </c>
      <c r="M254" s="11" t="s">
        <v>3049</v>
      </c>
      <c r="N254" s="14">
        <v>43558</v>
      </c>
      <c r="P254" t="s">
        <v>434</v>
      </c>
      <c r="Q254" t="s">
        <v>435</v>
      </c>
      <c r="R254" t="s">
        <v>436</v>
      </c>
      <c r="T254" t="s">
        <v>23</v>
      </c>
      <c r="U254" t="s">
        <v>18</v>
      </c>
      <c r="V254" s="6" t="s">
        <v>2922</v>
      </c>
      <c r="W254" t="s">
        <v>437</v>
      </c>
      <c r="X254" t="str">
        <f>"563-556-7560"</f>
        <v>563-556-7560</v>
      </c>
      <c r="Y254" t="s">
        <v>21</v>
      </c>
      <c r="Z254" t="s">
        <v>62</v>
      </c>
    </row>
    <row r="255" spans="1:26" x14ac:dyDescent="0.25">
      <c r="A255" t="str">
        <f>"04-01"</f>
        <v>04-01</v>
      </c>
      <c r="C255" t="s">
        <v>2373</v>
      </c>
      <c r="D255" t="s">
        <v>466</v>
      </c>
      <c r="E255" t="s">
        <v>23</v>
      </c>
      <c r="F255" t="s">
        <v>23</v>
      </c>
      <c r="G255" t="s">
        <v>280</v>
      </c>
      <c r="H255" t="s">
        <v>467</v>
      </c>
      <c r="I255" t="str">
        <f>"563-557-7010"</f>
        <v>563-557-7010</v>
      </c>
      <c r="J255" s="11">
        <v>6</v>
      </c>
      <c r="K255" s="11">
        <v>30</v>
      </c>
      <c r="L255" s="11">
        <v>30</v>
      </c>
      <c r="M255" s="11" t="s">
        <v>3050</v>
      </c>
      <c r="N255" s="14">
        <v>44020</v>
      </c>
      <c r="P255" t="s">
        <v>468</v>
      </c>
      <c r="Q255" t="s">
        <v>469</v>
      </c>
      <c r="R255" t="s">
        <v>470</v>
      </c>
      <c r="S255" t="s">
        <v>471</v>
      </c>
      <c r="T255" t="s">
        <v>23</v>
      </c>
      <c r="U255" t="s">
        <v>18</v>
      </c>
      <c r="V255" s="6" t="s">
        <v>2925</v>
      </c>
      <c r="W255" t="s">
        <v>472</v>
      </c>
      <c r="X255" t="str">
        <f>"563-557-7010"</f>
        <v>563-557-7010</v>
      </c>
      <c r="Y255" t="s">
        <v>151</v>
      </c>
      <c r="Z255" t="s">
        <v>44</v>
      </c>
    </row>
    <row r="256" spans="1:26" x14ac:dyDescent="0.25">
      <c r="A256" t="s">
        <v>557</v>
      </c>
      <c r="B256" t="s">
        <v>557</v>
      </c>
      <c r="C256" t="s">
        <v>2393</v>
      </c>
      <c r="D256" t="s">
        <v>558</v>
      </c>
      <c r="E256" t="s">
        <v>23</v>
      </c>
      <c r="F256" t="s">
        <v>23</v>
      </c>
      <c r="G256" t="s">
        <v>559</v>
      </c>
      <c r="H256" t="s">
        <v>560</v>
      </c>
      <c r="I256" t="str">
        <f>"563-599-4077"</f>
        <v>563-599-4077</v>
      </c>
      <c r="J256" s="11">
        <v>0</v>
      </c>
      <c r="K256" s="11">
        <v>12</v>
      </c>
      <c r="L256" s="11">
        <v>12</v>
      </c>
      <c r="M256" s="11" t="s">
        <v>3049</v>
      </c>
      <c r="N256" s="14">
        <v>43972</v>
      </c>
      <c r="P256" t="s">
        <v>559</v>
      </c>
      <c r="Q256" t="s">
        <v>561</v>
      </c>
      <c r="R256" t="s">
        <v>558</v>
      </c>
      <c r="T256" t="s">
        <v>23</v>
      </c>
      <c r="U256" t="s">
        <v>18</v>
      </c>
      <c r="V256" s="6" t="s">
        <v>2925</v>
      </c>
      <c r="W256" t="s">
        <v>562</v>
      </c>
      <c r="X256" t="str">
        <f>"563-599-4077"</f>
        <v>563-599-4077</v>
      </c>
      <c r="Y256" t="s">
        <v>21</v>
      </c>
      <c r="Z256" t="s">
        <v>116</v>
      </c>
    </row>
    <row r="257" spans="1:26" x14ac:dyDescent="0.25">
      <c r="A257" t="str">
        <f>"05-32"</f>
        <v>05-32</v>
      </c>
      <c r="B257" t="s">
        <v>609</v>
      </c>
      <c r="C257" t="s">
        <v>2401</v>
      </c>
      <c r="D257" t="s">
        <v>610</v>
      </c>
      <c r="E257" t="s">
        <v>23</v>
      </c>
      <c r="F257" t="s">
        <v>23</v>
      </c>
      <c r="G257" t="s">
        <v>280</v>
      </c>
      <c r="H257" t="s">
        <v>281</v>
      </c>
      <c r="I257" t="str">
        <f>"563-557-7010"</f>
        <v>563-557-7010</v>
      </c>
      <c r="J257" s="11">
        <v>1</v>
      </c>
      <c r="K257" s="11">
        <v>36</v>
      </c>
      <c r="L257" s="11">
        <v>36</v>
      </c>
      <c r="M257" s="11" t="s">
        <v>3149</v>
      </c>
      <c r="N257" s="14">
        <v>43860</v>
      </c>
      <c r="P257" t="s">
        <v>611</v>
      </c>
      <c r="Q257" t="s">
        <v>469</v>
      </c>
      <c r="R257" t="s">
        <v>612</v>
      </c>
      <c r="T257" t="s">
        <v>23</v>
      </c>
      <c r="U257" t="s">
        <v>18</v>
      </c>
      <c r="V257" s="6" t="s">
        <v>2935</v>
      </c>
      <c r="W257" t="s">
        <v>472</v>
      </c>
      <c r="X257" t="str">
        <f>"563-557-7010"</f>
        <v>563-557-7010</v>
      </c>
      <c r="Y257" t="s">
        <v>151</v>
      </c>
      <c r="Z257" t="s">
        <v>44</v>
      </c>
    </row>
    <row r="258" spans="1:26" x14ac:dyDescent="0.25">
      <c r="A258" t="s">
        <v>787</v>
      </c>
      <c r="B258" t="s">
        <v>787</v>
      </c>
      <c r="C258" t="s">
        <v>2434</v>
      </c>
      <c r="D258" t="s">
        <v>788</v>
      </c>
      <c r="E258" t="s">
        <v>23</v>
      </c>
      <c r="F258" t="s">
        <v>23</v>
      </c>
      <c r="G258" t="s">
        <v>789</v>
      </c>
      <c r="H258" t="s">
        <v>790</v>
      </c>
      <c r="I258" t="str">
        <f>"563-564-0941"</f>
        <v>563-564-0941</v>
      </c>
      <c r="J258" s="11">
        <v>0</v>
      </c>
      <c r="K258" s="11">
        <v>19</v>
      </c>
      <c r="L258" s="11">
        <v>19</v>
      </c>
      <c r="M258" s="11" t="s">
        <v>3049</v>
      </c>
      <c r="N258" s="14">
        <v>44154</v>
      </c>
      <c r="P258" t="s">
        <v>791</v>
      </c>
      <c r="Q258" t="s">
        <v>792</v>
      </c>
      <c r="R258" t="s">
        <v>788</v>
      </c>
      <c r="S258" t="s">
        <v>793</v>
      </c>
      <c r="T258" t="s">
        <v>23</v>
      </c>
      <c r="U258" t="s">
        <v>18</v>
      </c>
      <c r="V258" s="6" t="s">
        <v>2925</v>
      </c>
      <c r="W258" t="s">
        <v>794</v>
      </c>
      <c r="X258" t="str">
        <f>"563-557-4450"</f>
        <v>563-557-4450</v>
      </c>
      <c r="Y258" t="s">
        <v>21</v>
      </c>
      <c r="Z258" t="s">
        <v>116</v>
      </c>
    </row>
    <row r="259" spans="1:26" x14ac:dyDescent="0.25">
      <c r="A259" t="str">
        <f>"07-41"</f>
        <v>07-41</v>
      </c>
      <c r="C259" t="s">
        <v>2446</v>
      </c>
      <c r="D259" t="s">
        <v>867</v>
      </c>
      <c r="E259" t="s">
        <v>23</v>
      </c>
      <c r="F259" t="s">
        <v>23</v>
      </c>
      <c r="G259" t="s">
        <v>383</v>
      </c>
      <c r="H259" t="s">
        <v>384</v>
      </c>
      <c r="I259" t="str">
        <f>"563-359-1075"</f>
        <v>563-359-1075</v>
      </c>
      <c r="J259" s="11">
        <v>1</v>
      </c>
      <c r="K259" s="11">
        <v>79</v>
      </c>
      <c r="L259" s="11">
        <v>77</v>
      </c>
      <c r="M259" s="11" t="s">
        <v>3050</v>
      </c>
      <c r="N259" s="14">
        <v>44179</v>
      </c>
      <c r="P259" t="s">
        <v>868</v>
      </c>
      <c r="Q259" t="s">
        <v>386</v>
      </c>
      <c r="R259" t="s">
        <v>387</v>
      </c>
      <c r="T259" t="s">
        <v>388</v>
      </c>
      <c r="U259" t="s">
        <v>300</v>
      </c>
      <c r="V259" s="6" t="s">
        <v>2917</v>
      </c>
      <c r="W259" t="s">
        <v>776</v>
      </c>
      <c r="X259" t="str">
        <f>"414-395-4980"</f>
        <v>414-395-4980</v>
      </c>
      <c r="Y259" t="s">
        <v>151</v>
      </c>
      <c r="Z259" t="s">
        <v>116</v>
      </c>
    </row>
    <row r="260" spans="1:26" x14ac:dyDescent="0.25">
      <c r="A260" t="s">
        <v>928</v>
      </c>
      <c r="B260" t="s">
        <v>928</v>
      </c>
      <c r="C260" t="s">
        <v>2454</v>
      </c>
      <c r="D260" t="s">
        <v>929</v>
      </c>
      <c r="E260" t="s">
        <v>23</v>
      </c>
      <c r="F260" t="s">
        <v>23</v>
      </c>
      <c r="G260" t="s">
        <v>559</v>
      </c>
      <c r="H260" t="s">
        <v>560</v>
      </c>
      <c r="I260" t="str">
        <f>"563-599-4077"</f>
        <v>563-599-4077</v>
      </c>
      <c r="J260" s="11">
        <v>0</v>
      </c>
      <c r="K260" s="11">
        <v>12</v>
      </c>
      <c r="L260" s="11">
        <v>12</v>
      </c>
      <c r="M260" s="11" t="s">
        <v>3049</v>
      </c>
      <c r="N260" s="14">
        <v>43972</v>
      </c>
      <c r="P260" t="s">
        <v>559</v>
      </c>
      <c r="Q260" t="s">
        <v>561</v>
      </c>
      <c r="R260" t="s">
        <v>558</v>
      </c>
      <c r="T260" t="s">
        <v>23</v>
      </c>
      <c r="U260" t="s">
        <v>18</v>
      </c>
      <c r="V260" s="6" t="s">
        <v>2925</v>
      </c>
      <c r="W260" t="s">
        <v>562</v>
      </c>
      <c r="X260" t="str">
        <f>"563-599-4077"</f>
        <v>563-599-4077</v>
      </c>
      <c r="Y260" t="s">
        <v>21</v>
      </c>
      <c r="Z260" t="s">
        <v>116</v>
      </c>
    </row>
    <row r="261" spans="1:26" x14ac:dyDescent="0.25">
      <c r="A261" t="s">
        <v>1001</v>
      </c>
      <c r="B261" t="s">
        <v>1001</v>
      </c>
      <c r="C261" t="s">
        <v>2474</v>
      </c>
      <c r="D261" t="s">
        <v>1002</v>
      </c>
      <c r="E261" t="s">
        <v>23</v>
      </c>
      <c r="F261" t="s">
        <v>23</v>
      </c>
      <c r="G261" t="s">
        <v>789</v>
      </c>
      <c r="H261" t="s">
        <v>790</v>
      </c>
      <c r="I261" t="str">
        <f>"563-564-0941"</f>
        <v>563-564-0941</v>
      </c>
      <c r="J261" s="11">
        <v>0</v>
      </c>
      <c r="K261" s="11">
        <v>18</v>
      </c>
      <c r="L261" s="11">
        <v>18</v>
      </c>
      <c r="M261" s="11" t="s">
        <v>3049</v>
      </c>
      <c r="N261" s="14">
        <v>44154</v>
      </c>
      <c r="P261" t="s">
        <v>1003</v>
      </c>
      <c r="Q261" t="s">
        <v>792</v>
      </c>
      <c r="R261" t="s">
        <v>788</v>
      </c>
      <c r="S261" t="s">
        <v>793</v>
      </c>
      <c r="T261" t="s">
        <v>23</v>
      </c>
      <c r="U261" t="s">
        <v>18</v>
      </c>
      <c r="V261" s="6" t="s">
        <v>2925</v>
      </c>
      <c r="W261" t="s">
        <v>794</v>
      </c>
      <c r="X261" t="str">
        <f>"563-599-2980"</f>
        <v>563-599-2980</v>
      </c>
      <c r="Y261" t="s">
        <v>21</v>
      </c>
      <c r="Z261" t="s">
        <v>116</v>
      </c>
    </row>
    <row r="262" spans="1:26" x14ac:dyDescent="0.25">
      <c r="A262" t="str">
        <f>"09-0942"</f>
        <v>09-0942</v>
      </c>
      <c r="C262" t="s">
        <v>2785</v>
      </c>
      <c r="D262" t="s">
        <v>1065</v>
      </c>
      <c r="E262" t="s">
        <v>23</v>
      </c>
      <c r="F262" t="s">
        <v>23</v>
      </c>
      <c r="G262" t="s">
        <v>1066</v>
      </c>
      <c r="H262" t="s">
        <v>1067</v>
      </c>
      <c r="I262" t="str">
        <f>"608-354-0900"</f>
        <v>608-354-0900</v>
      </c>
      <c r="J262" s="11">
        <v>1</v>
      </c>
      <c r="K262" s="11">
        <v>43</v>
      </c>
      <c r="L262" s="11">
        <v>42</v>
      </c>
      <c r="M262" s="11" t="s">
        <v>3050</v>
      </c>
      <c r="N262" s="14">
        <v>43605</v>
      </c>
      <c r="P262" t="s">
        <v>2871</v>
      </c>
      <c r="Q262" t="s">
        <v>1067</v>
      </c>
      <c r="R262" t="s">
        <v>1068</v>
      </c>
      <c r="S262" t="s">
        <v>1069</v>
      </c>
      <c r="T262" t="s">
        <v>993</v>
      </c>
      <c r="U262" t="s">
        <v>300</v>
      </c>
      <c r="V262" s="6" t="s">
        <v>2967</v>
      </c>
      <c r="W262" t="s">
        <v>1070</v>
      </c>
      <c r="X262" t="str">
        <f>"608-354-0900"</f>
        <v>608-354-0900</v>
      </c>
      <c r="Y262" t="s">
        <v>21</v>
      </c>
      <c r="Z262" t="s">
        <v>103</v>
      </c>
    </row>
    <row r="263" spans="1:26" x14ac:dyDescent="0.25">
      <c r="A263" t="str">
        <f>"10-10-245"</f>
        <v>10-10-245</v>
      </c>
      <c r="C263" t="s">
        <v>2508</v>
      </c>
      <c r="D263" t="s">
        <v>1171</v>
      </c>
      <c r="E263" t="s">
        <v>23</v>
      </c>
      <c r="F263" t="s">
        <v>23</v>
      </c>
      <c r="G263" t="s">
        <v>24</v>
      </c>
      <c r="H263" t="s">
        <v>25</v>
      </c>
      <c r="I263" t="str">
        <f>"319-415-7610"</f>
        <v>319-415-7610</v>
      </c>
      <c r="J263" s="11">
        <v>1</v>
      </c>
      <c r="K263" s="11">
        <v>61</v>
      </c>
      <c r="L263" s="11">
        <v>61</v>
      </c>
      <c r="M263" s="11" t="s">
        <v>3050</v>
      </c>
      <c r="N263" s="14">
        <v>43712</v>
      </c>
      <c r="P263" t="s">
        <v>1172</v>
      </c>
      <c r="Q263" t="s">
        <v>1173</v>
      </c>
      <c r="R263" t="s">
        <v>1174</v>
      </c>
      <c r="S263" t="s">
        <v>947</v>
      </c>
      <c r="T263" t="s">
        <v>1175</v>
      </c>
      <c r="U263" t="s">
        <v>454</v>
      </c>
      <c r="V263" s="6" t="s">
        <v>2974</v>
      </c>
      <c r="W263" t="s">
        <v>1176</v>
      </c>
      <c r="X263" t="str">
        <f>"773-507-6856"</f>
        <v>773-507-6856</v>
      </c>
      <c r="Y263" t="s">
        <v>21</v>
      </c>
      <c r="Z263" t="s">
        <v>20</v>
      </c>
    </row>
    <row r="264" spans="1:26" x14ac:dyDescent="0.25">
      <c r="A264" t="str">
        <f>"11-11-54"</f>
        <v>11-11-54</v>
      </c>
      <c r="C264" t="s">
        <v>2539</v>
      </c>
      <c r="D264" t="s">
        <v>1315</v>
      </c>
      <c r="E264" t="s">
        <v>23</v>
      </c>
      <c r="F264" t="s">
        <v>23</v>
      </c>
      <c r="G264" t="s">
        <v>439</v>
      </c>
      <c r="H264" t="s">
        <v>440</v>
      </c>
      <c r="I264" t="str">
        <f>"952-447-2345"</f>
        <v>952-447-2345</v>
      </c>
      <c r="J264" s="11">
        <v>1</v>
      </c>
      <c r="K264" s="11">
        <v>70</v>
      </c>
      <c r="L264" s="11">
        <v>70</v>
      </c>
      <c r="M264" s="11" t="s">
        <v>3050</v>
      </c>
      <c r="N264" s="14">
        <v>43972</v>
      </c>
      <c r="P264" t="s">
        <v>1316</v>
      </c>
      <c r="Q264" t="s">
        <v>440</v>
      </c>
      <c r="R264" t="s">
        <v>442</v>
      </c>
      <c r="S264" t="s">
        <v>443</v>
      </c>
      <c r="T264" t="s">
        <v>444</v>
      </c>
      <c r="U264" t="s">
        <v>31</v>
      </c>
      <c r="V264" s="6" t="s">
        <v>2923</v>
      </c>
      <c r="W264" t="s">
        <v>445</v>
      </c>
      <c r="X264" t="str">
        <f>"952-447-2345"</f>
        <v>952-447-2345</v>
      </c>
      <c r="Y264" t="s">
        <v>21</v>
      </c>
      <c r="Z264" t="s">
        <v>44</v>
      </c>
    </row>
    <row r="265" spans="1:26" x14ac:dyDescent="0.25">
      <c r="A265" t="str">
        <f>"16-01"</f>
        <v>16-01</v>
      </c>
      <c r="C265" t="s">
        <v>2859</v>
      </c>
      <c r="D265" t="s">
        <v>1633</v>
      </c>
      <c r="E265" t="s">
        <v>23</v>
      </c>
      <c r="F265" t="s">
        <v>23</v>
      </c>
      <c r="G265" t="s">
        <v>1066</v>
      </c>
      <c r="H265" t="s">
        <v>1067</v>
      </c>
      <c r="I265" t="str">
        <f>"608-354-0900"</f>
        <v>608-354-0900</v>
      </c>
      <c r="J265" s="11">
        <v>1</v>
      </c>
      <c r="K265" s="11">
        <v>60</v>
      </c>
      <c r="L265" s="11">
        <v>54</v>
      </c>
      <c r="M265" s="11" t="s">
        <v>3050</v>
      </c>
      <c r="N265" s="14">
        <v>43423</v>
      </c>
      <c r="P265" t="s">
        <v>2873</v>
      </c>
      <c r="Q265" t="s">
        <v>1067</v>
      </c>
      <c r="R265" t="s">
        <v>1068</v>
      </c>
      <c r="S265" t="s">
        <v>1069</v>
      </c>
      <c r="T265" t="s">
        <v>993</v>
      </c>
      <c r="U265" t="s">
        <v>300</v>
      </c>
      <c r="V265" s="6" t="s">
        <v>2967</v>
      </c>
      <c r="W265" t="s">
        <v>1070</v>
      </c>
      <c r="X265" t="str">
        <f>"608-354-0900"</f>
        <v>608-354-0900</v>
      </c>
      <c r="Y265" t="s">
        <v>21</v>
      </c>
      <c r="Z265" t="s">
        <v>103</v>
      </c>
    </row>
    <row r="266" spans="1:26" x14ac:dyDescent="0.25">
      <c r="A266" t="str">
        <f>"17-19"</f>
        <v>17-19</v>
      </c>
      <c r="C266" t="s">
        <v>2629</v>
      </c>
      <c r="D266" t="s">
        <v>1701</v>
      </c>
      <c r="E266" t="s">
        <v>23</v>
      </c>
      <c r="F266" t="s">
        <v>23</v>
      </c>
      <c r="G266" t="s">
        <v>1680</v>
      </c>
      <c r="H266" t="s">
        <v>1371</v>
      </c>
      <c r="I266" t="str">
        <f>"913-671-3300"</f>
        <v>913-671-3300</v>
      </c>
      <c r="J266" s="11">
        <v>1</v>
      </c>
      <c r="K266" s="11">
        <v>28</v>
      </c>
      <c r="L266" s="11">
        <v>25</v>
      </c>
      <c r="M266" s="11" t="s">
        <v>3050</v>
      </c>
      <c r="N266" s="14">
        <v>43972</v>
      </c>
      <c r="P266" t="s">
        <v>1702</v>
      </c>
      <c r="Q266" t="s">
        <v>1467</v>
      </c>
      <c r="R266" t="s">
        <v>1468</v>
      </c>
      <c r="S266" t="s">
        <v>875</v>
      </c>
      <c r="T266" t="s">
        <v>1469</v>
      </c>
      <c r="U266" t="s">
        <v>1196</v>
      </c>
      <c r="V266" s="6" t="s">
        <v>2991</v>
      </c>
      <c r="W266" t="s">
        <v>1470</v>
      </c>
      <c r="X266" t="str">
        <f>"913-671-3300"</f>
        <v>913-671-3300</v>
      </c>
      <c r="Z266" t="s">
        <v>103</v>
      </c>
    </row>
    <row r="267" spans="1:26" x14ac:dyDescent="0.25">
      <c r="A267" t="str">
        <f>"17-25"</f>
        <v>17-25</v>
      </c>
      <c r="C267" t="s">
        <v>2632</v>
      </c>
      <c r="D267" t="s">
        <v>1710</v>
      </c>
      <c r="E267" t="s">
        <v>23</v>
      </c>
      <c r="F267" t="s">
        <v>23</v>
      </c>
      <c r="G267" t="s">
        <v>1575</v>
      </c>
      <c r="H267" t="s">
        <v>1711</v>
      </c>
      <c r="I267" t="str">
        <f>"847-849-5313"</f>
        <v>847-849-5313</v>
      </c>
      <c r="J267" s="11">
        <v>1</v>
      </c>
      <c r="K267" s="11">
        <v>36</v>
      </c>
      <c r="L267" s="11">
        <v>32</v>
      </c>
      <c r="M267" s="11" t="s">
        <v>3050</v>
      </c>
      <c r="N267" s="14">
        <v>44077</v>
      </c>
      <c r="P267" t="s">
        <v>1712</v>
      </c>
      <c r="Q267" t="s">
        <v>1713</v>
      </c>
      <c r="R267" t="s">
        <v>1714</v>
      </c>
      <c r="S267" t="s">
        <v>1580</v>
      </c>
      <c r="T267" t="s">
        <v>453</v>
      </c>
      <c r="U267" t="s">
        <v>454</v>
      </c>
      <c r="V267" s="6" t="s">
        <v>3015</v>
      </c>
      <c r="W267" t="s">
        <v>1715</v>
      </c>
      <c r="X267" t="str">
        <f>"847-849-5305"</f>
        <v>847-849-5305</v>
      </c>
      <c r="Z267" t="s">
        <v>116</v>
      </c>
    </row>
    <row r="268" spans="1:26" x14ac:dyDescent="0.25">
      <c r="A268" t="str">
        <f>"91-10"</f>
        <v>91-10</v>
      </c>
      <c r="C268" t="s">
        <v>2657</v>
      </c>
      <c r="D268" t="s">
        <v>1833</v>
      </c>
      <c r="E268" t="s">
        <v>23</v>
      </c>
      <c r="F268" t="s">
        <v>23</v>
      </c>
      <c r="G268" t="s">
        <v>1834</v>
      </c>
      <c r="H268" t="s">
        <v>1835</v>
      </c>
      <c r="I268" t="str">
        <f>"563-588-1574"</f>
        <v>563-588-1574</v>
      </c>
      <c r="J268" s="11">
        <v>2</v>
      </c>
      <c r="K268" s="11">
        <v>16</v>
      </c>
      <c r="L268" s="11">
        <v>16</v>
      </c>
      <c r="M268" s="11" t="s">
        <v>3051</v>
      </c>
      <c r="N268" s="14">
        <v>43605</v>
      </c>
      <c r="P268" t="s">
        <v>1836</v>
      </c>
      <c r="Q268" t="s">
        <v>1835</v>
      </c>
      <c r="R268" t="s">
        <v>1837</v>
      </c>
      <c r="T268" t="s">
        <v>23</v>
      </c>
      <c r="U268" t="s">
        <v>18</v>
      </c>
      <c r="V268" s="6" t="s">
        <v>2925</v>
      </c>
      <c r="W268" t="s">
        <v>1838</v>
      </c>
      <c r="X268" t="str">
        <f>"563-588-1574"</f>
        <v>563-588-1574</v>
      </c>
      <c r="Z268" t="s">
        <v>116</v>
      </c>
    </row>
    <row r="269" spans="1:26" x14ac:dyDescent="0.25">
      <c r="A269" t="str">
        <f>"93-12"</f>
        <v>93-12</v>
      </c>
      <c r="B269" t="str">
        <f>"92-400-27-04"</f>
        <v>92-400-27-04</v>
      </c>
      <c r="C269" t="s">
        <v>2683</v>
      </c>
      <c r="D269" t="s">
        <v>1945</v>
      </c>
      <c r="E269" t="s">
        <v>23</v>
      </c>
      <c r="F269" t="s">
        <v>23</v>
      </c>
      <c r="G269" t="s">
        <v>24</v>
      </c>
      <c r="H269" t="s">
        <v>25</v>
      </c>
      <c r="I269" t="str">
        <f>"319-415-7610"</f>
        <v>319-415-7610</v>
      </c>
      <c r="J269" s="11">
        <v>1</v>
      </c>
      <c r="K269" s="11">
        <v>32</v>
      </c>
      <c r="L269" s="11">
        <v>32</v>
      </c>
      <c r="M269" s="11" t="s">
        <v>3051</v>
      </c>
      <c r="N269" s="14">
        <v>42773</v>
      </c>
      <c r="P269" t="s">
        <v>1946</v>
      </c>
      <c r="Q269" t="s">
        <v>1947</v>
      </c>
      <c r="R269" t="s">
        <v>129</v>
      </c>
      <c r="S269" t="s">
        <v>130</v>
      </c>
      <c r="T269" t="s">
        <v>131</v>
      </c>
      <c r="U269" t="s">
        <v>132</v>
      </c>
      <c r="V269" s="6" t="s">
        <v>2894</v>
      </c>
      <c r="W269" t="s">
        <v>1948</v>
      </c>
      <c r="X269" t="str">
        <f>"773-412-2418"</f>
        <v>773-412-2418</v>
      </c>
      <c r="Y269" t="s">
        <v>151</v>
      </c>
      <c r="Z269" t="s">
        <v>20</v>
      </c>
    </row>
    <row r="270" spans="1:26" x14ac:dyDescent="0.25">
      <c r="A270" t="str">
        <f>"93-45"</f>
        <v>93-45</v>
      </c>
      <c r="C270" t="s">
        <v>2694</v>
      </c>
      <c r="D270" t="s">
        <v>1979</v>
      </c>
      <c r="E270" t="s">
        <v>23</v>
      </c>
      <c r="F270" t="s">
        <v>23</v>
      </c>
      <c r="G270" t="s">
        <v>1066</v>
      </c>
      <c r="H270" t="s">
        <v>1067</v>
      </c>
      <c r="I270" t="str">
        <f>"608-354-0900"</f>
        <v>608-354-0900</v>
      </c>
      <c r="J270" s="11">
        <v>1</v>
      </c>
      <c r="K270" s="11">
        <v>47</v>
      </c>
      <c r="L270" s="11">
        <v>46</v>
      </c>
      <c r="M270" s="11" t="s">
        <v>3051</v>
      </c>
      <c r="N270" s="14">
        <v>43535</v>
      </c>
      <c r="P270" t="s">
        <v>1980</v>
      </c>
      <c r="Q270" t="s">
        <v>1981</v>
      </c>
      <c r="R270" t="s">
        <v>1982</v>
      </c>
      <c r="T270" t="s">
        <v>23</v>
      </c>
      <c r="U270" t="s">
        <v>18</v>
      </c>
      <c r="V270" s="6" t="s">
        <v>2925</v>
      </c>
      <c r="W270" t="s">
        <v>1983</v>
      </c>
      <c r="X270" t="str">
        <f>"563-556-2921"</f>
        <v>563-556-2921</v>
      </c>
      <c r="Z270" t="s">
        <v>103</v>
      </c>
    </row>
    <row r="271" spans="1:26" x14ac:dyDescent="0.25">
      <c r="A271" t="str">
        <f>"94-53"</f>
        <v>94-53</v>
      </c>
      <c r="C271" t="s">
        <v>2824</v>
      </c>
      <c r="D271" t="s">
        <v>2027</v>
      </c>
      <c r="E271" t="s">
        <v>23</v>
      </c>
      <c r="F271" t="s">
        <v>23</v>
      </c>
      <c r="G271" t="s">
        <v>1066</v>
      </c>
      <c r="H271" t="s">
        <v>1067</v>
      </c>
      <c r="I271" t="str">
        <f>"608-354-0900"</f>
        <v>608-354-0900</v>
      </c>
      <c r="J271" s="11">
        <v>1</v>
      </c>
      <c r="K271" s="11">
        <v>45</v>
      </c>
      <c r="L271" s="11">
        <v>38</v>
      </c>
      <c r="M271" s="11" t="s">
        <v>3051</v>
      </c>
      <c r="N271" s="14">
        <v>44077</v>
      </c>
      <c r="P271" t="s">
        <v>1980</v>
      </c>
      <c r="Q271" t="s">
        <v>1981</v>
      </c>
      <c r="R271" t="s">
        <v>1982</v>
      </c>
      <c r="T271" t="s">
        <v>23</v>
      </c>
      <c r="U271" t="s">
        <v>18</v>
      </c>
      <c r="V271" s="6" t="s">
        <v>2925</v>
      </c>
      <c r="W271" t="s">
        <v>1983</v>
      </c>
      <c r="X271" t="str">
        <f>"563-556-2921"</f>
        <v>563-556-2921</v>
      </c>
      <c r="Z271" t="s">
        <v>103</v>
      </c>
    </row>
    <row r="272" spans="1:26" x14ac:dyDescent="0.25">
      <c r="A272" t="str">
        <f>"06-24"</f>
        <v>06-24</v>
      </c>
      <c r="C272" t="s">
        <v>2844</v>
      </c>
      <c r="D272" t="s">
        <v>720</v>
      </c>
      <c r="E272" t="s">
        <v>3070</v>
      </c>
      <c r="F272" t="s">
        <v>721</v>
      </c>
      <c r="G272" t="s">
        <v>722</v>
      </c>
      <c r="H272" t="s">
        <v>723</v>
      </c>
      <c r="I272" t="str">
        <f>"515-339-4423"</f>
        <v>515-339-4423</v>
      </c>
      <c r="J272" s="11">
        <v>1</v>
      </c>
      <c r="K272" s="11">
        <v>10</v>
      </c>
      <c r="L272" s="11">
        <v>9</v>
      </c>
      <c r="M272" s="11" t="s">
        <v>3050</v>
      </c>
      <c r="N272" s="14">
        <v>43619</v>
      </c>
      <c r="P272" t="s">
        <v>724</v>
      </c>
      <c r="Q272" t="s">
        <v>725</v>
      </c>
      <c r="R272" t="s">
        <v>726</v>
      </c>
      <c r="T272" t="s">
        <v>17</v>
      </c>
      <c r="U272" t="s">
        <v>18</v>
      </c>
      <c r="V272" s="6" t="s">
        <v>2943</v>
      </c>
      <c r="W272" t="s">
        <v>727</v>
      </c>
      <c r="X272" t="str">
        <f>"515-224-4442"</f>
        <v>515-224-4442</v>
      </c>
      <c r="Y272" t="s">
        <v>21</v>
      </c>
      <c r="Z272" t="s">
        <v>116</v>
      </c>
    </row>
    <row r="273" spans="1:26" x14ac:dyDescent="0.25">
      <c r="A273" t="str">
        <f>"93-35"</f>
        <v>93-35</v>
      </c>
      <c r="C273" t="s">
        <v>2693</v>
      </c>
      <c r="D273" t="s">
        <v>1975</v>
      </c>
      <c r="E273" t="s">
        <v>3071</v>
      </c>
      <c r="F273" t="s">
        <v>1865</v>
      </c>
      <c r="G273" t="s">
        <v>78</v>
      </c>
      <c r="H273" t="s">
        <v>79</v>
      </c>
      <c r="I273" t="str">
        <f>"515-225-4782"</f>
        <v>515-225-4782</v>
      </c>
      <c r="J273" s="11">
        <v>3</v>
      </c>
      <c r="K273" s="11">
        <v>24</v>
      </c>
      <c r="L273" s="11">
        <v>24</v>
      </c>
      <c r="M273" s="11" t="s">
        <v>3051</v>
      </c>
      <c r="N273" s="14">
        <v>43655</v>
      </c>
      <c r="P273" t="s">
        <v>1976</v>
      </c>
      <c r="Q273" t="s">
        <v>81</v>
      </c>
      <c r="R273" t="s">
        <v>82</v>
      </c>
      <c r="S273" t="s">
        <v>83</v>
      </c>
      <c r="T273" t="s">
        <v>84</v>
      </c>
      <c r="U273" t="s">
        <v>18</v>
      </c>
      <c r="V273" s="6" t="s">
        <v>2890</v>
      </c>
      <c r="W273" t="s">
        <v>85</v>
      </c>
      <c r="X273" t="str">
        <f>"319-338-7600"</f>
        <v>319-338-7600</v>
      </c>
      <c r="Z273" t="s">
        <v>62</v>
      </c>
    </row>
    <row r="274" spans="1:26" x14ac:dyDescent="0.25">
      <c r="A274" t="str">
        <f>"91-07"</f>
        <v>91-07</v>
      </c>
      <c r="C274" t="s">
        <v>2656</v>
      </c>
      <c r="D274" t="s">
        <v>1830</v>
      </c>
      <c r="E274" t="s">
        <v>3072</v>
      </c>
      <c r="F274" t="s">
        <v>1831</v>
      </c>
      <c r="G274" t="s">
        <v>142</v>
      </c>
      <c r="H274" t="s">
        <v>143</v>
      </c>
      <c r="I274" t="str">
        <f>"712-580-5360"</f>
        <v>712-580-5360</v>
      </c>
      <c r="J274" s="11">
        <v>2</v>
      </c>
      <c r="K274" s="11">
        <v>16</v>
      </c>
      <c r="L274" s="11">
        <v>16</v>
      </c>
      <c r="M274" s="11" t="s">
        <v>3051</v>
      </c>
      <c r="N274" s="14">
        <v>43738</v>
      </c>
      <c r="P274" t="s">
        <v>1832</v>
      </c>
      <c r="Q274" t="s">
        <v>145</v>
      </c>
      <c r="R274" t="s">
        <v>146</v>
      </c>
      <c r="T274" t="s">
        <v>147</v>
      </c>
      <c r="U274" t="s">
        <v>18</v>
      </c>
      <c r="V274" s="6" t="s">
        <v>2895</v>
      </c>
      <c r="W274" t="s">
        <v>148</v>
      </c>
      <c r="X274" t="str">
        <f>"712-240-2188"</f>
        <v>712-240-2188</v>
      </c>
      <c r="Z274" t="s">
        <v>116</v>
      </c>
    </row>
    <row r="275" spans="1:26" x14ac:dyDescent="0.25">
      <c r="A275" t="str">
        <f>"92-05"</f>
        <v>92-05</v>
      </c>
      <c r="C275" t="s">
        <v>2819</v>
      </c>
      <c r="D275" t="s">
        <v>1894</v>
      </c>
      <c r="E275" t="s">
        <v>3072</v>
      </c>
      <c r="F275" t="s">
        <v>1831</v>
      </c>
      <c r="G275" t="s">
        <v>142</v>
      </c>
      <c r="H275" t="s">
        <v>143</v>
      </c>
      <c r="I275" t="str">
        <f>"712-580-5360"</f>
        <v>712-580-5360</v>
      </c>
      <c r="J275" s="11">
        <v>2</v>
      </c>
      <c r="K275" s="11">
        <v>16</v>
      </c>
      <c r="L275" s="11">
        <v>16</v>
      </c>
      <c r="M275" s="11" t="s">
        <v>3051</v>
      </c>
      <c r="N275" s="14">
        <v>43738</v>
      </c>
      <c r="P275" t="s">
        <v>1832</v>
      </c>
      <c r="Q275" t="s">
        <v>145</v>
      </c>
      <c r="R275" t="s">
        <v>146</v>
      </c>
      <c r="T275" t="s">
        <v>147</v>
      </c>
      <c r="U275" t="s">
        <v>18</v>
      </c>
      <c r="V275" s="6" t="s">
        <v>2895</v>
      </c>
      <c r="W275" t="s">
        <v>148</v>
      </c>
      <c r="X275" t="str">
        <f>"712-240-2188"</f>
        <v>712-240-2188</v>
      </c>
      <c r="Z275" t="s">
        <v>116</v>
      </c>
    </row>
    <row r="276" spans="1:26" x14ac:dyDescent="0.25">
      <c r="A276" t="str">
        <f>"98-40"</f>
        <v>98-40</v>
      </c>
      <c r="C276" t="s">
        <v>2752</v>
      </c>
      <c r="D276" t="s">
        <v>2200</v>
      </c>
      <c r="E276" t="s">
        <v>3072</v>
      </c>
      <c r="F276" t="s">
        <v>1831</v>
      </c>
      <c r="G276" t="s">
        <v>142</v>
      </c>
      <c r="H276" t="s">
        <v>143</v>
      </c>
      <c r="I276" t="str">
        <f>"712-580-5360"</f>
        <v>712-580-5360</v>
      </c>
      <c r="J276" s="11">
        <v>1</v>
      </c>
      <c r="K276" s="11">
        <v>24</v>
      </c>
      <c r="L276" s="11">
        <v>24</v>
      </c>
      <c r="M276" s="11" t="s">
        <v>3051</v>
      </c>
      <c r="N276" s="14">
        <v>43654</v>
      </c>
      <c r="P276" t="s">
        <v>2201</v>
      </c>
      <c r="Q276" t="s">
        <v>2202</v>
      </c>
      <c r="R276" t="s">
        <v>2203</v>
      </c>
      <c r="T276" t="s">
        <v>1401</v>
      </c>
      <c r="U276" t="s">
        <v>114</v>
      </c>
      <c r="V276" s="6" t="s">
        <v>3045</v>
      </c>
      <c r="X276" t="str">
        <f>"712-580-5360"</f>
        <v>712-580-5360</v>
      </c>
      <c r="Z276" t="s">
        <v>116</v>
      </c>
    </row>
    <row r="277" spans="1:26" x14ac:dyDescent="0.25">
      <c r="A277" t="str">
        <f>"96-69"</f>
        <v>96-69</v>
      </c>
      <c r="B277" t="s">
        <v>2098</v>
      </c>
      <c r="C277" t="s">
        <v>2722</v>
      </c>
      <c r="D277" t="s">
        <v>2099</v>
      </c>
      <c r="E277" t="s">
        <v>3073</v>
      </c>
      <c r="F277" t="s">
        <v>2100</v>
      </c>
      <c r="G277" t="s">
        <v>142</v>
      </c>
      <c r="H277" t="s">
        <v>143</v>
      </c>
      <c r="I277" t="str">
        <f>"712-580-5360"</f>
        <v>712-580-5360</v>
      </c>
      <c r="J277" s="11">
        <v>2</v>
      </c>
      <c r="K277" s="11">
        <v>16</v>
      </c>
      <c r="L277" s="11">
        <v>16</v>
      </c>
      <c r="M277" s="11" t="s">
        <v>3049</v>
      </c>
      <c r="N277" s="14">
        <v>43655</v>
      </c>
      <c r="P277" t="s">
        <v>2101</v>
      </c>
      <c r="Q277" t="s">
        <v>145</v>
      </c>
      <c r="R277" t="s">
        <v>146</v>
      </c>
      <c r="T277" t="s">
        <v>147</v>
      </c>
      <c r="U277" t="s">
        <v>18</v>
      </c>
      <c r="V277" s="6" t="s">
        <v>2895</v>
      </c>
      <c r="W277" t="s">
        <v>148</v>
      </c>
      <c r="X277" t="str">
        <f>"712-240-2188"</f>
        <v>712-240-2188</v>
      </c>
      <c r="Y277" t="s">
        <v>21</v>
      </c>
      <c r="Z277" t="s">
        <v>116</v>
      </c>
    </row>
    <row r="278" spans="1:26" x14ac:dyDescent="0.25">
      <c r="A278" t="str">
        <f>"96-60"</f>
        <v>96-60</v>
      </c>
      <c r="C278" t="s">
        <v>2718</v>
      </c>
      <c r="D278" t="s">
        <v>2089</v>
      </c>
      <c r="E278" t="s">
        <v>3074</v>
      </c>
      <c r="F278" t="s">
        <v>210</v>
      </c>
      <c r="G278" t="s">
        <v>1066</v>
      </c>
      <c r="H278" t="s">
        <v>1067</v>
      </c>
      <c r="I278" t="str">
        <f>"608-354-0900"</f>
        <v>608-354-0900</v>
      </c>
      <c r="J278" s="11">
        <v>1</v>
      </c>
      <c r="K278" s="11">
        <v>41</v>
      </c>
      <c r="L278" s="11">
        <v>40</v>
      </c>
      <c r="M278" s="11" t="s">
        <v>3051</v>
      </c>
      <c r="N278" s="14">
        <v>42564</v>
      </c>
      <c r="P278" t="s">
        <v>2090</v>
      </c>
      <c r="Q278" t="s">
        <v>1981</v>
      </c>
      <c r="R278" t="s">
        <v>1982</v>
      </c>
      <c r="T278" t="s">
        <v>23</v>
      </c>
      <c r="U278" t="s">
        <v>18</v>
      </c>
      <c r="V278" s="6" t="s">
        <v>2925</v>
      </c>
      <c r="W278" t="s">
        <v>1983</v>
      </c>
      <c r="X278" t="str">
        <f>"563-556-2921"</f>
        <v>563-556-2921</v>
      </c>
      <c r="Z278" t="s">
        <v>103</v>
      </c>
    </row>
    <row r="279" spans="1:26" x14ac:dyDescent="0.25">
      <c r="A279" t="str">
        <f>"92-02"</f>
        <v>92-02</v>
      </c>
      <c r="C279" t="s">
        <v>2667</v>
      </c>
      <c r="D279" t="s">
        <v>1888</v>
      </c>
      <c r="E279" t="s">
        <v>3075</v>
      </c>
      <c r="F279" t="s">
        <v>149</v>
      </c>
      <c r="G279" t="s">
        <v>1889</v>
      </c>
      <c r="H279" t="s">
        <v>1890</v>
      </c>
      <c r="I279" t="str">
        <f>"319-362-5566"</f>
        <v>319-362-5566</v>
      </c>
      <c r="J279" s="11">
        <v>1</v>
      </c>
      <c r="K279" s="11">
        <v>8</v>
      </c>
      <c r="L279" s="11">
        <v>8</v>
      </c>
      <c r="M279" s="11" t="s">
        <v>3051</v>
      </c>
      <c r="N279" s="14">
        <v>43221</v>
      </c>
      <c r="P279" t="s">
        <v>1891</v>
      </c>
      <c r="Q279" t="s">
        <v>1891</v>
      </c>
      <c r="R279" t="s">
        <v>1892</v>
      </c>
      <c r="T279" t="s">
        <v>320</v>
      </c>
      <c r="U279" t="s">
        <v>18</v>
      </c>
      <c r="V279" s="6" t="s">
        <v>3031</v>
      </c>
      <c r="W279" t="s">
        <v>1893</v>
      </c>
      <c r="X279" t="str">
        <f>"319-423-8661"</f>
        <v>319-423-8661</v>
      </c>
      <c r="Z279" t="s">
        <v>116</v>
      </c>
    </row>
    <row r="280" spans="1:26" x14ac:dyDescent="0.25">
      <c r="A280" t="str">
        <f>"05-20"</f>
        <v>05-20</v>
      </c>
      <c r="B280" t="s">
        <v>588</v>
      </c>
      <c r="C280" t="s">
        <v>2398</v>
      </c>
      <c r="D280" t="s">
        <v>589</v>
      </c>
      <c r="E280" t="s">
        <v>594</v>
      </c>
      <c r="F280" t="s">
        <v>590</v>
      </c>
      <c r="G280" t="s">
        <v>78</v>
      </c>
      <c r="H280" t="s">
        <v>79</v>
      </c>
      <c r="I280" t="str">
        <f>"515-225-4782"</f>
        <v>515-225-4782</v>
      </c>
      <c r="J280" s="11">
        <v>2</v>
      </c>
      <c r="K280" s="11">
        <v>18</v>
      </c>
      <c r="L280" s="11">
        <v>18</v>
      </c>
      <c r="M280" s="11" t="s">
        <v>3049</v>
      </c>
      <c r="N280" s="14">
        <v>43552</v>
      </c>
      <c r="P280" t="s">
        <v>591</v>
      </c>
      <c r="Q280" t="s">
        <v>592</v>
      </c>
      <c r="R280" t="s">
        <v>593</v>
      </c>
      <c r="T280" t="s">
        <v>594</v>
      </c>
      <c r="U280" t="s">
        <v>18</v>
      </c>
      <c r="V280" s="6" t="s">
        <v>2933</v>
      </c>
      <c r="W280" t="s">
        <v>595</v>
      </c>
      <c r="X280" t="str">
        <f>"641-472-2851"</f>
        <v>641-472-2851</v>
      </c>
      <c r="Y280" t="s">
        <v>21</v>
      </c>
      <c r="Z280" t="s">
        <v>62</v>
      </c>
    </row>
    <row r="281" spans="1:26" x14ac:dyDescent="0.25">
      <c r="A281" t="str">
        <f>"14-14-11"</f>
        <v>14-14-11</v>
      </c>
      <c r="C281" t="s">
        <v>2580</v>
      </c>
      <c r="D281" t="s">
        <v>1482</v>
      </c>
      <c r="E281" t="s">
        <v>594</v>
      </c>
      <c r="F281" t="s">
        <v>590</v>
      </c>
      <c r="G281" t="s">
        <v>142</v>
      </c>
      <c r="H281" t="s">
        <v>143</v>
      </c>
      <c r="I281" t="str">
        <f>"712-580-5360"</f>
        <v>712-580-5360</v>
      </c>
      <c r="J281" s="11">
        <v>2</v>
      </c>
      <c r="K281" s="11">
        <v>24</v>
      </c>
      <c r="L281" s="11">
        <v>20</v>
      </c>
      <c r="M281" s="11" t="s">
        <v>3050</v>
      </c>
      <c r="N281" s="14">
        <v>43906</v>
      </c>
      <c r="P281" t="s">
        <v>1483</v>
      </c>
      <c r="Q281" t="s">
        <v>145</v>
      </c>
      <c r="R281" t="s">
        <v>146</v>
      </c>
      <c r="T281" t="s">
        <v>147</v>
      </c>
      <c r="U281" t="s">
        <v>18</v>
      </c>
      <c r="V281" s="6" t="s">
        <v>2895</v>
      </c>
      <c r="W281" t="s">
        <v>148</v>
      </c>
      <c r="X281" t="str">
        <f>"712-240-2188"</f>
        <v>712-240-2188</v>
      </c>
      <c r="Y281" t="s">
        <v>151</v>
      </c>
      <c r="Z281" t="s">
        <v>116</v>
      </c>
    </row>
    <row r="282" spans="1:26" x14ac:dyDescent="0.25">
      <c r="A282" t="str">
        <f>"14-14-12"</f>
        <v>14-14-12</v>
      </c>
      <c r="C282" t="s">
        <v>2814</v>
      </c>
      <c r="D282" t="s">
        <v>1484</v>
      </c>
      <c r="E282" t="s">
        <v>594</v>
      </c>
      <c r="F282" t="s">
        <v>590</v>
      </c>
      <c r="G282" t="s">
        <v>142</v>
      </c>
      <c r="H282" t="s">
        <v>143</v>
      </c>
      <c r="I282" t="str">
        <f>"712-580-5360"</f>
        <v>712-580-5360</v>
      </c>
      <c r="J282" s="11">
        <v>2</v>
      </c>
      <c r="K282" s="11">
        <v>24</v>
      </c>
      <c r="L282" s="11">
        <v>20</v>
      </c>
      <c r="M282" s="11" t="s">
        <v>3050</v>
      </c>
      <c r="N282" s="14">
        <v>43906</v>
      </c>
      <c r="P282" t="s">
        <v>1485</v>
      </c>
      <c r="Q282" t="s">
        <v>145</v>
      </c>
      <c r="R282" t="s">
        <v>146</v>
      </c>
      <c r="T282" t="s">
        <v>147</v>
      </c>
      <c r="U282" t="s">
        <v>18</v>
      </c>
      <c r="V282" s="6" t="s">
        <v>2895</v>
      </c>
      <c r="W282" t="s">
        <v>148</v>
      </c>
      <c r="X282" t="str">
        <f>"712-240-2188"</f>
        <v>712-240-2188</v>
      </c>
      <c r="Y282" t="s">
        <v>151</v>
      </c>
      <c r="Z282" t="s">
        <v>116</v>
      </c>
    </row>
    <row r="283" spans="1:26" x14ac:dyDescent="0.25">
      <c r="A283" t="str">
        <f>"97-53"</f>
        <v>97-53</v>
      </c>
      <c r="B283" t="s">
        <v>2130</v>
      </c>
      <c r="C283" t="s">
        <v>2732</v>
      </c>
      <c r="D283" t="s">
        <v>2131</v>
      </c>
      <c r="E283" t="s">
        <v>594</v>
      </c>
      <c r="F283" t="s">
        <v>590</v>
      </c>
      <c r="G283" t="s">
        <v>78</v>
      </c>
      <c r="H283" t="s">
        <v>79</v>
      </c>
      <c r="I283" t="str">
        <f>"515-225-4782"</f>
        <v>515-225-4782</v>
      </c>
      <c r="J283" s="11">
        <v>1</v>
      </c>
      <c r="K283" s="11">
        <v>33</v>
      </c>
      <c r="L283" s="11">
        <v>33</v>
      </c>
      <c r="M283" s="11" t="s">
        <v>3051</v>
      </c>
      <c r="N283" s="14">
        <v>43906</v>
      </c>
      <c r="P283" t="s">
        <v>2132</v>
      </c>
      <c r="Q283" t="s">
        <v>81</v>
      </c>
      <c r="R283" t="s">
        <v>82</v>
      </c>
      <c r="S283" t="s">
        <v>83</v>
      </c>
      <c r="T283" t="s">
        <v>84</v>
      </c>
      <c r="U283" t="s">
        <v>18</v>
      </c>
      <c r="V283" s="6" t="s">
        <v>2890</v>
      </c>
      <c r="W283" t="s">
        <v>85</v>
      </c>
      <c r="X283" t="str">
        <f>"319-338-7600"</f>
        <v>319-338-7600</v>
      </c>
      <c r="Y283" t="s">
        <v>21</v>
      </c>
      <c r="Z283" t="s">
        <v>62</v>
      </c>
    </row>
    <row r="284" spans="1:26" x14ac:dyDescent="0.25">
      <c r="A284" t="s">
        <v>3164</v>
      </c>
      <c r="C284" t="s">
        <v>3165</v>
      </c>
      <c r="D284" t="s">
        <v>3166</v>
      </c>
      <c r="E284" t="s">
        <v>594</v>
      </c>
      <c r="F284" t="s">
        <v>590</v>
      </c>
      <c r="G284" t="s">
        <v>55</v>
      </c>
      <c r="H284" t="s">
        <v>56</v>
      </c>
      <c r="I284" t="str">
        <f>"712-262-5965"</f>
        <v>712-262-5965</v>
      </c>
      <c r="J284" s="11">
        <v>5</v>
      </c>
      <c r="K284" s="11">
        <v>24</v>
      </c>
      <c r="L284" s="11">
        <v>24</v>
      </c>
      <c r="M284" s="11" t="s">
        <v>3050</v>
      </c>
      <c r="N284" s="15" t="s">
        <v>3158</v>
      </c>
      <c r="P284" t="s">
        <v>3167</v>
      </c>
      <c r="Q284" t="s">
        <v>58</v>
      </c>
      <c r="R284" t="s">
        <v>59</v>
      </c>
      <c r="T284" t="s">
        <v>60</v>
      </c>
      <c r="U284" t="s">
        <v>18</v>
      </c>
      <c r="V284" s="6" t="s">
        <v>2888</v>
      </c>
      <c r="W284" t="s">
        <v>61</v>
      </c>
      <c r="X284" t="str">
        <f>"515-262-5965"</f>
        <v>515-262-5965</v>
      </c>
      <c r="Y284" t="s">
        <v>151</v>
      </c>
      <c r="Z284" t="s">
        <v>62</v>
      </c>
    </row>
    <row r="285" spans="1:26" x14ac:dyDescent="0.25">
      <c r="A285" t="str">
        <f>"13-13-41"</f>
        <v>13-13-41</v>
      </c>
      <c r="B285" t="s">
        <v>1460</v>
      </c>
      <c r="C285" t="s">
        <v>2574</v>
      </c>
      <c r="D285" t="s">
        <v>1461</v>
      </c>
      <c r="E285" t="s">
        <v>3076</v>
      </c>
      <c r="F285" t="s">
        <v>1462</v>
      </c>
      <c r="G285" t="s">
        <v>78</v>
      </c>
      <c r="H285" t="s">
        <v>79</v>
      </c>
      <c r="I285" t="str">
        <f>"515-225-4782"</f>
        <v>515-225-4782</v>
      </c>
      <c r="J285" s="11">
        <v>2</v>
      </c>
      <c r="K285" s="11">
        <v>24</v>
      </c>
      <c r="L285" s="11">
        <v>24</v>
      </c>
      <c r="M285" s="11" t="s">
        <v>3049</v>
      </c>
      <c r="N285" s="14">
        <v>43809</v>
      </c>
      <c r="P285" t="s">
        <v>1458</v>
      </c>
      <c r="Q285" t="s">
        <v>1333</v>
      </c>
      <c r="R285" t="s">
        <v>1459</v>
      </c>
      <c r="T285" t="s">
        <v>147</v>
      </c>
      <c r="U285" t="s">
        <v>18</v>
      </c>
      <c r="V285" s="6" t="s">
        <v>2990</v>
      </c>
      <c r="W285" t="s">
        <v>1334</v>
      </c>
      <c r="X285" t="str">
        <f>"712-262-5640"</f>
        <v>712-262-5640</v>
      </c>
      <c r="Y285" t="s">
        <v>151</v>
      </c>
      <c r="Z285" t="s">
        <v>62</v>
      </c>
    </row>
    <row r="286" spans="1:26" x14ac:dyDescent="0.25">
      <c r="A286" t="str">
        <f>"99-49"</f>
        <v>99-49</v>
      </c>
      <c r="C286" t="s">
        <v>2772</v>
      </c>
      <c r="D286" t="s">
        <v>2267</v>
      </c>
      <c r="E286" t="s">
        <v>3076</v>
      </c>
      <c r="F286" t="s">
        <v>1462</v>
      </c>
      <c r="G286" t="s">
        <v>55</v>
      </c>
      <c r="H286" t="s">
        <v>56</v>
      </c>
      <c r="I286" t="str">
        <f>"712-262-5965"</f>
        <v>712-262-5965</v>
      </c>
      <c r="J286" s="11">
        <v>2</v>
      </c>
      <c r="K286" s="11">
        <v>16</v>
      </c>
      <c r="L286" s="11">
        <v>16</v>
      </c>
      <c r="M286" s="11" t="s">
        <v>3051</v>
      </c>
      <c r="N286" s="14">
        <v>43356</v>
      </c>
      <c r="P286" t="s">
        <v>2268</v>
      </c>
      <c r="Q286" t="s">
        <v>58</v>
      </c>
      <c r="R286" t="s">
        <v>59</v>
      </c>
      <c r="T286" t="s">
        <v>60</v>
      </c>
      <c r="U286" t="s">
        <v>18</v>
      </c>
      <c r="V286" s="6" t="s">
        <v>2888</v>
      </c>
      <c r="W286" t="s">
        <v>61</v>
      </c>
      <c r="X286" t="str">
        <f>"515-262-5965"</f>
        <v>515-262-5965</v>
      </c>
      <c r="Y286" t="s">
        <v>21</v>
      </c>
      <c r="Z286" t="s">
        <v>62</v>
      </c>
    </row>
    <row r="287" spans="1:26" x14ac:dyDescent="0.25">
      <c r="A287" t="str">
        <f>"01-04"</f>
        <v>01-04</v>
      </c>
      <c r="B287" t="s">
        <v>174</v>
      </c>
      <c r="C287" t="s">
        <v>2333</v>
      </c>
      <c r="D287" t="s">
        <v>175</v>
      </c>
      <c r="E287" t="s">
        <v>270</v>
      </c>
      <c r="F287" t="s">
        <v>176</v>
      </c>
      <c r="G287" t="s">
        <v>24</v>
      </c>
      <c r="H287" t="s">
        <v>25</v>
      </c>
      <c r="I287" t="str">
        <f>"319-415-7610"</f>
        <v>319-415-7610</v>
      </c>
      <c r="J287" s="11">
        <v>1</v>
      </c>
      <c r="K287" s="11">
        <v>31</v>
      </c>
      <c r="L287" s="11">
        <v>31</v>
      </c>
      <c r="M287" s="11" t="s">
        <v>3051</v>
      </c>
      <c r="N287" s="14">
        <v>42850</v>
      </c>
      <c r="P287" t="s">
        <v>177</v>
      </c>
      <c r="Q287" t="s">
        <v>27</v>
      </c>
      <c r="R287" t="s">
        <v>28</v>
      </c>
      <c r="S287" t="s">
        <v>29</v>
      </c>
      <c r="T287" t="s">
        <v>30</v>
      </c>
      <c r="U287" t="s">
        <v>31</v>
      </c>
      <c r="V287" s="6" t="s">
        <v>2885</v>
      </c>
      <c r="W287" t="s">
        <v>178</v>
      </c>
      <c r="X287" t="str">
        <f>"314-307-1035"</f>
        <v>314-307-1035</v>
      </c>
      <c r="Y287" t="s">
        <v>151</v>
      </c>
      <c r="Z287" t="s">
        <v>20</v>
      </c>
    </row>
    <row r="288" spans="1:26" x14ac:dyDescent="0.25">
      <c r="A288" t="str">
        <f>"02-12"</f>
        <v>02-12</v>
      </c>
      <c r="C288" t="s">
        <v>2792</v>
      </c>
      <c r="D288" t="s">
        <v>266</v>
      </c>
      <c r="E288" t="s">
        <v>270</v>
      </c>
      <c r="F288" t="s">
        <v>176</v>
      </c>
      <c r="G288" t="s">
        <v>267</v>
      </c>
      <c r="H288" t="s">
        <v>268</v>
      </c>
      <c r="I288" t="str">
        <f>"515-573-7751"</f>
        <v>515-573-7751</v>
      </c>
      <c r="J288" s="11">
        <v>1</v>
      </c>
      <c r="K288" s="11">
        <v>23</v>
      </c>
      <c r="L288" s="11">
        <v>23</v>
      </c>
      <c r="M288" s="11" t="s">
        <v>3051</v>
      </c>
      <c r="N288" s="14">
        <v>42710</v>
      </c>
      <c r="P288" t="s">
        <v>267</v>
      </c>
      <c r="Q288" t="s">
        <v>268</v>
      </c>
      <c r="R288" t="s">
        <v>269</v>
      </c>
      <c r="T288" t="s">
        <v>270</v>
      </c>
      <c r="U288" t="s">
        <v>18</v>
      </c>
      <c r="V288" s="6" t="s">
        <v>2906</v>
      </c>
      <c r="W288" t="s">
        <v>271</v>
      </c>
      <c r="X288" t="str">
        <f>"515-573-7751"</f>
        <v>515-573-7751</v>
      </c>
      <c r="Y288" t="s">
        <v>21</v>
      </c>
      <c r="Z288" t="s">
        <v>44</v>
      </c>
    </row>
    <row r="289" spans="1:26" x14ac:dyDescent="0.25">
      <c r="A289" t="s">
        <v>627</v>
      </c>
      <c r="B289" t="s">
        <v>627</v>
      </c>
      <c r="C289" t="s">
        <v>2407</v>
      </c>
      <c r="D289" t="s">
        <v>269</v>
      </c>
      <c r="E289" t="s">
        <v>270</v>
      </c>
      <c r="F289" t="s">
        <v>176</v>
      </c>
      <c r="G289" t="s">
        <v>267</v>
      </c>
      <c r="H289" t="s">
        <v>268</v>
      </c>
      <c r="I289" t="str">
        <f>"515-573-7751"</f>
        <v>515-573-7751</v>
      </c>
      <c r="J289" s="11">
        <v>0</v>
      </c>
      <c r="K289" s="11">
        <v>6</v>
      </c>
      <c r="L289" s="11">
        <v>6</v>
      </c>
      <c r="M289" s="11" t="s">
        <v>3049</v>
      </c>
      <c r="N289" s="14">
        <v>43725</v>
      </c>
      <c r="P289" t="s">
        <v>267</v>
      </c>
      <c r="Q289" t="s">
        <v>268</v>
      </c>
      <c r="R289" t="s">
        <v>269</v>
      </c>
      <c r="T289" t="s">
        <v>270</v>
      </c>
      <c r="U289" t="s">
        <v>18</v>
      </c>
      <c r="V289" s="6" t="s">
        <v>2906</v>
      </c>
      <c r="W289" t="s">
        <v>271</v>
      </c>
      <c r="X289" t="str">
        <f>"515-573-7751"</f>
        <v>515-573-7751</v>
      </c>
      <c r="Y289" t="s">
        <v>21</v>
      </c>
      <c r="Z289" t="s">
        <v>44</v>
      </c>
    </row>
    <row r="290" spans="1:26" x14ac:dyDescent="0.25">
      <c r="A290" t="str">
        <f>"07-10"</f>
        <v>07-10</v>
      </c>
      <c r="B290" t="s">
        <v>807</v>
      </c>
      <c r="C290" t="s">
        <v>2436</v>
      </c>
      <c r="D290" t="s">
        <v>808</v>
      </c>
      <c r="E290" t="s">
        <v>270</v>
      </c>
      <c r="F290" t="s">
        <v>176</v>
      </c>
      <c r="G290" t="s">
        <v>267</v>
      </c>
      <c r="H290" t="s">
        <v>809</v>
      </c>
      <c r="I290" t="str">
        <f>"515-576-6615"</f>
        <v>515-576-6615</v>
      </c>
      <c r="J290" s="11">
        <v>1</v>
      </c>
      <c r="K290" s="11">
        <v>24</v>
      </c>
      <c r="L290" s="11">
        <v>24</v>
      </c>
      <c r="M290" s="11" t="s">
        <v>3049</v>
      </c>
      <c r="N290" s="14">
        <v>43532</v>
      </c>
      <c r="P290" t="s">
        <v>810</v>
      </c>
      <c r="Q290" t="s">
        <v>811</v>
      </c>
      <c r="R290" t="s">
        <v>812</v>
      </c>
      <c r="S290" t="s">
        <v>813</v>
      </c>
      <c r="T290" t="s">
        <v>540</v>
      </c>
      <c r="U290" t="s">
        <v>31</v>
      </c>
      <c r="V290" s="6" t="s">
        <v>2949</v>
      </c>
      <c r="W290" t="s">
        <v>814</v>
      </c>
      <c r="X290" t="str">
        <f>"651-523-1252"</f>
        <v>651-523-1252</v>
      </c>
      <c r="Y290" t="s">
        <v>21</v>
      </c>
      <c r="Z290" t="s">
        <v>44</v>
      </c>
    </row>
    <row r="291" spans="1:26" x14ac:dyDescent="0.25">
      <c r="A291" t="str">
        <f>"08-35"</f>
        <v>08-35</v>
      </c>
      <c r="C291" t="s">
        <v>2473</v>
      </c>
      <c r="D291" t="s">
        <v>995</v>
      </c>
      <c r="E291" t="s">
        <v>270</v>
      </c>
      <c r="F291" t="s">
        <v>176</v>
      </c>
      <c r="G291" t="s">
        <v>870</v>
      </c>
      <c r="H291" t="s">
        <v>996</v>
      </c>
      <c r="I291" t="str">
        <f>"763-392-9818"</f>
        <v>763-392-9818</v>
      </c>
      <c r="J291" s="11">
        <v>1</v>
      </c>
      <c r="K291" s="11">
        <v>76</v>
      </c>
      <c r="L291" s="11">
        <v>76</v>
      </c>
      <c r="M291" s="11" t="s">
        <v>3050</v>
      </c>
      <c r="N291" s="14">
        <v>43858</v>
      </c>
      <c r="P291" t="s">
        <v>997</v>
      </c>
      <c r="Q291" t="s">
        <v>873</v>
      </c>
      <c r="R291" t="s">
        <v>874</v>
      </c>
      <c r="S291" t="s">
        <v>875</v>
      </c>
      <c r="T291" t="s">
        <v>379</v>
      </c>
      <c r="U291" t="s">
        <v>31</v>
      </c>
      <c r="V291" s="6" t="s">
        <v>2956</v>
      </c>
      <c r="W291" t="s">
        <v>876</v>
      </c>
      <c r="X291" t="str">
        <f>"763-354-5613"</f>
        <v>763-354-5613</v>
      </c>
      <c r="Z291" t="s">
        <v>44</v>
      </c>
    </row>
    <row r="292" spans="1:26" x14ac:dyDescent="0.25">
      <c r="A292" t="str">
        <f>"12-12-27"</f>
        <v>12-12-27</v>
      </c>
      <c r="C292" t="s">
        <v>2551</v>
      </c>
      <c r="D292" t="s">
        <v>1370</v>
      </c>
      <c r="E292" t="s">
        <v>270</v>
      </c>
      <c r="F292" t="s">
        <v>176</v>
      </c>
      <c r="G292" t="s">
        <v>1680</v>
      </c>
      <c r="H292" t="s">
        <v>1371</v>
      </c>
      <c r="I292" t="str">
        <f>"913-671-3300"</f>
        <v>913-671-3300</v>
      </c>
      <c r="J292" s="11">
        <v>1</v>
      </c>
      <c r="K292" s="11">
        <v>48</v>
      </c>
      <c r="L292" s="11">
        <v>42</v>
      </c>
      <c r="M292" s="11" t="s">
        <v>3050</v>
      </c>
      <c r="N292" s="14">
        <v>43446</v>
      </c>
      <c r="P292" t="s">
        <v>1372</v>
      </c>
      <c r="Q292" t="s">
        <v>1373</v>
      </c>
      <c r="R292" t="s">
        <v>1374</v>
      </c>
      <c r="T292" t="s">
        <v>594</v>
      </c>
      <c r="U292" t="s">
        <v>18</v>
      </c>
      <c r="V292" s="6" t="s">
        <v>2933</v>
      </c>
      <c r="W292" t="s">
        <v>1375</v>
      </c>
      <c r="X292" t="str">
        <f>"641-209-1883"</f>
        <v>641-209-1883</v>
      </c>
      <c r="Y292" t="s">
        <v>1013</v>
      </c>
      <c r="Z292" t="s">
        <v>103</v>
      </c>
    </row>
    <row r="293" spans="1:26" x14ac:dyDescent="0.25">
      <c r="A293" t="str">
        <f>"94-59"</f>
        <v>94-59</v>
      </c>
      <c r="C293" t="s">
        <v>2704</v>
      </c>
      <c r="D293" t="s">
        <v>2028</v>
      </c>
      <c r="E293" t="s">
        <v>270</v>
      </c>
      <c r="F293" t="s">
        <v>176</v>
      </c>
      <c r="G293" t="s">
        <v>267</v>
      </c>
      <c r="H293" t="s">
        <v>268</v>
      </c>
      <c r="I293" t="str">
        <f>"515-573-7751"</f>
        <v>515-573-7751</v>
      </c>
      <c r="J293" s="11">
        <v>2</v>
      </c>
      <c r="K293" s="11">
        <v>48</v>
      </c>
      <c r="L293" s="11">
        <v>47</v>
      </c>
      <c r="M293" s="11" t="s">
        <v>3051</v>
      </c>
      <c r="N293" s="14">
        <v>44068</v>
      </c>
      <c r="P293" t="s">
        <v>267</v>
      </c>
      <c r="Q293" t="s">
        <v>268</v>
      </c>
      <c r="R293" t="s">
        <v>269</v>
      </c>
      <c r="T293" t="s">
        <v>270</v>
      </c>
      <c r="U293" t="s">
        <v>18</v>
      </c>
      <c r="V293" s="6" t="s">
        <v>2906</v>
      </c>
      <c r="W293" t="s">
        <v>271</v>
      </c>
      <c r="X293" t="str">
        <f>"515-573-7751"</f>
        <v>515-573-7751</v>
      </c>
      <c r="Z293" t="s">
        <v>44</v>
      </c>
    </row>
    <row r="294" spans="1:26" x14ac:dyDescent="0.25">
      <c r="A294" t="str">
        <f>"95-77"</f>
        <v>95-77</v>
      </c>
      <c r="C294" t="s">
        <v>2714</v>
      </c>
      <c r="D294" t="s">
        <v>2073</v>
      </c>
      <c r="E294" t="s">
        <v>270</v>
      </c>
      <c r="F294" t="s">
        <v>176</v>
      </c>
      <c r="G294" t="s">
        <v>267</v>
      </c>
      <c r="H294" t="s">
        <v>268</v>
      </c>
      <c r="I294" t="str">
        <f>"515-573-7751"</f>
        <v>515-573-7751</v>
      </c>
      <c r="J294" s="11">
        <v>1</v>
      </c>
      <c r="K294" s="11">
        <v>44</v>
      </c>
      <c r="L294" s="11">
        <v>44</v>
      </c>
      <c r="M294" s="11" t="s">
        <v>3051</v>
      </c>
      <c r="N294" s="14">
        <v>44068</v>
      </c>
      <c r="P294" t="s">
        <v>267</v>
      </c>
      <c r="Q294" t="s">
        <v>268</v>
      </c>
      <c r="R294" t="s">
        <v>269</v>
      </c>
      <c r="T294" t="s">
        <v>270</v>
      </c>
      <c r="U294" t="s">
        <v>18</v>
      </c>
      <c r="V294" s="6" t="s">
        <v>2906</v>
      </c>
      <c r="W294" t="s">
        <v>271</v>
      </c>
      <c r="X294" t="str">
        <f>"515-573-7751"</f>
        <v>515-573-7751</v>
      </c>
      <c r="Z294" t="s">
        <v>44</v>
      </c>
    </row>
    <row r="295" spans="1:26" x14ac:dyDescent="0.25">
      <c r="A295" t="str">
        <f>"96-17"</f>
        <v>96-17</v>
      </c>
      <c r="C295" t="s">
        <v>2826</v>
      </c>
      <c r="D295" t="s">
        <v>2082</v>
      </c>
      <c r="E295" t="s">
        <v>270</v>
      </c>
      <c r="F295" t="s">
        <v>176</v>
      </c>
      <c r="G295" t="s">
        <v>267</v>
      </c>
      <c r="H295" t="s">
        <v>268</v>
      </c>
      <c r="I295" t="str">
        <f>"515-573-7751"</f>
        <v>515-573-7751</v>
      </c>
      <c r="J295" s="11">
        <v>1</v>
      </c>
      <c r="K295" s="11">
        <v>30</v>
      </c>
      <c r="L295" s="11">
        <v>30</v>
      </c>
      <c r="M295" s="11" t="s">
        <v>3051</v>
      </c>
      <c r="N295" s="14">
        <v>44068</v>
      </c>
      <c r="P295" t="s">
        <v>267</v>
      </c>
      <c r="Q295" t="s">
        <v>268</v>
      </c>
      <c r="R295" t="s">
        <v>269</v>
      </c>
      <c r="T295" t="s">
        <v>270</v>
      </c>
      <c r="U295" t="s">
        <v>18</v>
      </c>
      <c r="V295" s="6" t="s">
        <v>2906</v>
      </c>
      <c r="W295" t="s">
        <v>271</v>
      </c>
      <c r="X295" t="str">
        <f>"515-573-7751"</f>
        <v>515-573-7751</v>
      </c>
      <c r="Z295" t="s">
        <v>44</v>
      </c>
    </row>
    <row r="296" spans="1:26" x14ac:dyDescent="0.25">
      <c r="A296" t="s">
        <v>628</v>
      </c>
      <c r="B296" t="s">
        <v>629</v>
      </c>
      <c r="C296" t="s">
        <v>2408</v>
      </c>
      <c r="D296" t="s">
        <v>630</v>
      </c>
      <c r="E296" t="s">
        <v>637</v>
      </c>
      <c r="F296" t="s">
        <v>92</v>
      </c>
      <c r="G296" t="s">
        <v>631</v>
      </c>
      <c r="H296" t="s">
        <v>632</v>
      </c>
      <c r="I296" t="str">
        <f>"319-372-7700"</f>
        <v>319-372-7700</v>
      </c>
      <c r="J296" s="11">
        <v>0</v>
      </c>
      <c r="K296" s="11">
        <v>1</v>
      </c>
      <c r="L296" s="11">
        <v>1</v>
      </c>
      <c r="M296" s="11" t="s">
        <v>3049</v>
      </c>
      <c r="N296" s="14">
        <v>44090</v>
      </c>
      <c r="P296" t="s">
        <v>633</v>
      </c>
      <c r="Q296" t="s">
        <v>634</v>
      </c>
      <c r="R296" t="s">
        <v>635</v>
      </c>
      <c r="S296" t="s">
        <v>636</v>
      </c>
      <c r="T296" t="s">
        <v>637</v>
      </c>
      <c r="U296" t="s">
        <v>18</v>
      </c>
      <c r="V296" s="6" t="s">
        <v>2936</v>
      </c>
      <c r="W296" t="s">
        <v>638</v>
      </c>
      <c r="X296" t="str">
        <f>"319-372-5536"</f>
        <v>319-372-5536</v>
      </c>
      <c r="Y296" t="s">
        <v>33</v>
      </c>
      <c r="Z296" t="s">
        <v>62</v>
      </c>
    </row>
    <row r="297" spans="1:26" x14ac:dyDescent="0.25">
      <c r="A297" t="s">
        <v>639</v>
      </c>
      <c r="B297" t="s">
        <v>629</v>
      </c>
      <c r="C297" t="s">
        <v>2409</v>
      </c>
      <c r="D297" t="s">
        <v>640</v>
      </c>
      <c r="E297" t="s">
        <v>637</v>
      </c>
      <c r="F297" t="s">
        <v>92</v>
      </c>
      <c r="G297" t="s">
        <v>631</v>
      </c>
      <c r="H297" t="s">
        <v>632</v>
      </c>
      <c r="I297" t="str">
        <f>"319-372-7700"</f>
        <v>319-372-7700</v>
      </c>
      <c r="J297" s="11">
        <v>0</v>
      </c>
      <c r="K297" s="11">
        <v>8</v>
      </c>
      <c r="L297" s="11">
        <v>8</v>
      </c>
      <c r="M297" s="11" t="s">
        <v>3049</v>
      </c>
      <c r="N297" s="14">
        <v>44090</v>
      </c>
      <c r="P297" t="s">
        <v>641</v>
      </c>
      <c r="Q297" t="s">
        <v>641</v>
      </c>
      <c r="R297" t="s">
        <v>642</v>
      </c>
      <c r="T297" t="s">
        <v>637</v>
      </c>
      <c r="U297" t="s">
        <v>18</v>
      </c>
      <c r="V297" s="6" t="s">
        <v>2936</v>
      </c>
      <c r="W297" t="s">
        <v>643</v>
      </c>
      <c r="X297" t="str">
        <f>"319-470-8711"</f>
        <v>319-470-8711</v>
      </c>
      <c r="Y297" t="s">
        <v>151</v>
      </c>
      <c r="Z297" t="s">
        <v>62</v>
      </c>
    </row>
    <row r="298" spans="1:26" x14ac:dyDescent="0.25">
      <c r="A298" t="s">
        <v>644</v>
      </c>
      <c r="B298" t="s">
        <v>629</v>
      </c>
      <c r="C298" t="s">
        <v>2410</v>
      </c>
      <c r="D298" t="s">
        <v>645</v>
      </c>
      <c r="E298" t="s">
        <v>637</v>
      </c>
      <c r="F298" t="s">
        <v>92</v>
      </c>
      <c r="G298" t="s">
        <v>631</v>
      </c>
      <c r="H298" t="s">
        <v>632</v>
      </c>
      <c r="I298" t="str">
        <f>"319-372-7700"</f>
        <v>319-372-7700</v>
      </c>
      <c r="J298" s="11">
        <v>0</v>
      </c>
      <c r="K298" s="11">
        <v>3</v>
      </c>
      <c r="L298" s="11">
        <v>3</v>
      </c>
      <c r="M298" s="11" t="s">
        <v>3049</v>
      </c>
      <c r="N298" s="14">
        <v>44034</v>
      </c>
      <c r="P298" t="s">
        <v>646</v>
      </c>
      <c r="Q298" t="s">
        <v>647</v>
      </c>
      <c r="R298" t="s">
        <v>648</v>
      </c>
      <c r="T298" t="s">
        <v>649</v>
      </c>
      <c r="U298" t="s">
        <v>18</v>
      </c>
      <c r="V298" s="6" t="s">
        <v>2937</v>
      </c>
      <c r="W298" t="s">
        <v>650</v>
      </c>
      <c r="X298" t="str">
        <f>"319-470-0629"</f>
        <v>319-470-0629</v>
      </c>
      <c r="Y298" t="s">
        <v>151</v>
      </c>
      <c r="Z298" t="s">
        <v>62</v>
      </c>
    </row>
    <row r="299" spans="1:26" x14ac:dyDescent="0.25">
      <c r="A299" t="s">
        <v>877</v>
      </c>
      <c r="B299" t="s">
        <v>878</v>
      </c>
      <c r="C299" t="s">
        <v>2448</v>
      </c>
      <c r="D299" t="s">
        <v>879</v>
      </c>
      <c r="E299" t="s">
        <v>637</v>
      </c>
      <c r="F299" t="s">
        <v>92</v>
      </c>
      <c r="G299" t="s">
        <v>631</v>
      </c>
      <c r="H299" t="s">
        <v>632</v>
      </c>
      <c r="I299" t="str">
        <f>"319-372-7700"</f>
        <v>319-372-7700</v>
      </c>
      <c r="J299" s="11">
        <v>0</v>
      </c>
      <c r="K299" s="11">
        <v>4</v>
      </c>
      <c r="L299" s="11">
        <v>4</v>
      </c>
      <c r="M299" s="11" t="s">
        <v>3050</v>
      </c>
      <c r="N299" s="14">
        <v>43305</v>
      </c>
      <c r="P299" t="s">
        <v>880</v>
      </c>
      <c r="Q299" t="s">
        <v>880</v>
      </c>
      <c r="R299" t="s">
        <v>881</v>
      </c>
      <c r="T299" t="s">
        <v>511</v>
      </c>
      <c r="U299" t="s">
        <v>454</v>
      </c>
      <c r="V299" s="6" t="s">
        <v>2957</v>
      </c>
      <c r="W299" t="s">
        <v>882</v>
      </c>
      <c r="X299" t="str">
        <f>"319-520-5904"</f>
        <v>319-520-5904</v>
      </c>
      <c r="Y299" t="s">
        <v>151</v>
      </c>
      <c r="Z299" t="s">
        <v>62</v>
      </c>
    </row>
    <row r="300" spans="1:26" x14ac:dyDescent="0.25">
      <c r="A300" t="str">
        <f>"09-0958"</f>
        <v>09-0958</v>
      </c>
      <c r="B300" t="s">
        <v>1085</v>
      </c>
      <c r="C300" t="s">
        <v>2492</v>
      </c>
      <c r="D300" t="s">
        <v>1086</v>
      </c>
      <c r="E300" t="s">
        <v>637</v>
      </c>
      <c r="F300" t="s">
        <v>92</v>
      </c>
      <c r="G300" t="s">
        <v>324</v>
      </c>
      <c r="H300" t="s">
        <v>345</v>
      </c>
      <c r="I300" t="str">
        <f>"402-763-9465"</f>
        <v>402-763-9465</v>
      </c>
      <c r="J300" s="11">
        <v>5</v>
      </c>
      <c r="K300" s="11">
        <v>40</v>
      </c>
      <c r="L300" s="11">
        <v>40</v>
      </c>
      <c r="M300" s="11" t="s">
        <v>3149</v>
      </c>
      <c r="N300" s="14">
        <v>44090</v>
      </c>
      <c r="P300" t="s">
        <v>1087</v>
      </c>
      <c r="Q300" t="s">
        <v>1088</v>
      </c>
      <c r="R300" t="s">
        <v>1089</v>
      </c>
      <c r="S300" t="s">
        <v>1090</v>
      </c>
      <c r="T300" t="s">
        <v>1091</v>
      </c>
      <c r="U300" t="s">
        <v>454</v>
      </c>
      <c r="V300" s="6" t="s">
        <v>2969</v>
      </c>
      <c r="W300" t="s">
        <v>1092</v>
      </c>
      <c r="X300" t="str">
        <f>"227-927-5070"</f>
        <v>227-927-5070</v>
      </c>
      <c r="Y300" t="s">
        <v>21</v>
      </c>
      <c r="Z300" t="s">
        <v>103</v>
      </c>
    </row>
    <row r="301" spans="1:26" x14ac:dyDescent="0.25">
      <c r="A301" t="str">
        <f>"98-30"</f>
        <v>98-30</v>
      </c>
      <c r="B301" t="s">
        <v>2195</v>
      </c>
      <c r="C301" t="s">
        <v>2751</v>
      </c>
      <c r="D301" t="s">
        <v>2196</v>
      </c>
      <c r="E301" t="s">
        <v>637</v>
      </c>
      <c r="F301" t="s">
        <v>92</v>
      </c>
      <c r="G301" t="s">
        <v>78</v>
      </c>
      <c r="H301" t="s">
        <v>79</v>
      </c>
      <c r="I301" t="str">
        <f>"515-225-4782"</f>
        <v>515-225-4782</v>
      </c>
      <c r="J301" s="11">
        <v>1</v>
      </c>
      <c r="K301" s="11">
        <v>24</v>
      </c>
      <c r="L301" s="11">
        <v>24</v>
      </c>
      <c r="M301" s="11" t="s">
        <v>3051</v>
      </c>
      <c r="N301" s="14">
        <v>44103</v>
      </c>
      <c r="P301" t="s">
        <v>2197</v>
      </c>
      <c r="Q301" t="s">
        <v>81</v>
      </c>
      <c r="R301" t="s">
        <v>82</v>
      </c>
      <c r="S301" t="s">
        <v>83</v>
      </c>
      <c r="T301" t="s">
        <v>84</v>
      </c>
      <c r="U301" t="s">
        <v>18</v>
      </c>
      <c r="V301" s="6" t="s">
        <v>2890</v>
      </c>
      <c r="W301" t="s">
        <v>85</v>
      </c>
      <c r="X301" t="str">
        <f>"319-338-7600"</f>
        <v>319-338-7600</v>
      </c>
      <c r="Y301" t="s">
        <v>21</v>
      </c>
      <c r="Z301" t="s">
        <v>62</v>
      </c>
    </row>
    <row r="302" spans="1:26" x14ac:dyDescent="0.25">
      <c r="A302" t="str">
        <f>"98-78"</f>
        <v>98-78</v>
      </c>
      <c r="B302" t="s">
        <v>2243</v>
      </c>
      <c r="C302" t="s">
        <v>2832</v>
      </c>
      <c r="D302" t="s">
        <v>2196</v>
      </c>
      <c r="E302" t="s">
        <v>637</v>
      </c>
      <c r="F302" t="s">
        <v>92</v>
      </c>
      <c r="G302" t="s">
        <v>78</v>
      </c>
      <c r="H302" t="s">
        <v>79</v>
      </c>
      <c r="I302" t="str">
        <f>"515-225-4782"</f>
        <v>515-225-4782</v>
      </c>
      <c r="J302" s="11">
        <v>1</v>
      </c>
      <c r="K302" s="11">
        <v>24</v>
      </c>
      <c r="L302" s="11">
        <v>24</v>
      </c>
      <c r="M302" s="11" t="s">
        <v>3051</v>
      </c>
      <c r="N302" s="14">
        <v>44103</v>
      </c>
      <c r="P302" t="s">
        <v>2244</v>
      </c>
      <c r="Q302" t="s">
        <v>81</v>
      </c>
      <c r="R302" t="s">
        <v>82</v>
      </c>
      <c r="S302" t="s">
        <v>83</v>
      </c>
      <c r="T302" t="s">
        <v>84</v>
      </c>
      <c r="U302" t="s">
        <v>18</v>
      </c>
      <c r="V302" s="6" t="s">
        <v>2890</v>
      </c>
      <c r="W302" t="s">
        <v>85</v>
      </c>
      <c r="X302" t="str">
        <f>"319-338-7600"</f>
        <v>319-338-7600</v>
      </c>
      <c r="Y302" t="s">
        <v>21</v>
      </c>
      <c r="Z302" t="s">
        <v>62</v>
      </c>
    </row>
    <row r="303" spans="1:26" x14ac:dyDescent="0.25">
      <c r="A303" t="s">
        <v>1673</v>
      </c>
      <c r="B303" t="s">
        <v>1673</v>
      </c>
      <c r="C303" t="s">
        <v>2620</v>
      </c>
      <c r="D303" t="s">
        <v>1674</v>
      </c>
      <c r="E303" t="s">
        <v>3077</v>
      </c>
      <c r="F303" t="s">
        <v>1562</v>
      </c>
      <c r="G303" t="s">
        <v>166</v>
      </c>
      <c r="H303" t="s">
        <v>167</v>
      </c>
      <c r="I303" t="str">
        <f>"563-382-8436"</f>
        <v>563-382-8436</v>
      </c>
      <c r="J303" s="11">
        <v>0</v>
      </c>
      <c r="K303" s="11">
        <v>2</v>
      </c>
      <c r="L303" s="11">
        <v>2</v>
      </c>
      <c r="M303" s="11" t="s">
        <v>3050</v>
      </c>
      <c r="N303" s="14">
        <v>43578</v>
      </c>
      <c r="P303" t="s">
        <v>166</v>
      </c>
      <c r="Q303" t="s">
        <v>653</v>
      </c>
      <c r="R303" t="s">
        <v>170</v>
      </c>
      <c r="S303" t="s">
        <v>171</v>
      </c>
      <c r="T303" t="s">
        <v>172</v>
      </c>
      <c r="U303" t="s">
        <v>18</v>
      </c>
      <c r="V303" s="6" t="s">
        <v>2898</v>
      </c>
      <c r="W303" t="s">
        <v>173</v>
      </c>
      <c r="X303" t="str">
        <f>"563-382-8436"</f>
        <v>563-382-8436</v>
      </c>
      <c r="Y303" t="s">
        <v>21</v>
      </c>
      <c r="Z303" t="s">
        <v>44</v>
      </c>
    </row>
    <row r="304" spans="1:26" x14ac:dyDescent="0.25">
      <c r="A304" t="str">
        <f>"91-31"</f>
        <v>91-31</v>
      </c>
      <c r="C304" t="s">
        <v>2660</v>
      </c>
      <c r="D304" t="s">
        <v>1855</v>
      </c>
      <c r="E304" t="s">
        <v>3078</v>
      </c>
      <c r="F304" t="s">
        <v>88</v>
      </c>
      <c r="G304" t="s">
        <v>1763</v>
      </c>
      <c r="H304" t="s">
        <v>1764</v>
      </c>
      <c r="I304" t="str">
        <f>"515-295-2927"</f>
        <v>515-295-2927</v>
      </c>
      <c r="J304" s="11">
        <v>3</v>
      </c>
      <c r="K304" s="11">
        <v>12</v>
      </c>
      <c r="L304" s="11">
        <v>12</v>
      </c>
      <c r="M304" s="11" t="s">
        <v>3051</v>
      </c>
      <c r="N304" s="14">
        <v>43637</v>
      </c>
      <c r="P304" t="s">
        <v>1856</v>
      </c>
      <c r="Q304" t="s">
        <v>1857</v>
      </c>
      <c r="R304" t="s">
        <v>1858</v>
      </c>
      <c r="T304" t="s">
        <v>1859</v>
      </c>
      <c r="U304" t="s">
        <v>18</v>
      </c>
      <c r="V304" s="6" t="s">
        <v>3028</v>
      </c>
      <c r="W304" t="s">
        <v>1860</v>
      </c>
      <c r="X304" t="str">
        <f>"515-295-2927"</f>
        <v>515-295-2927</v>
      </c>
      <c r="Z304" t="s">
        <v>103</v>
      </c>
    </row>
    <row r="305" spans="1:26" x14ac:dyDescent="0.25">
      <c r="A305" t="str">
        <f>"11-11-18"</f>
        <v>11-11-18</v>
      </c>
      <c r="C305" t="s">
        <v>2532</v>
      </c>
      <c r="D305" t="s">
        <v>1284</v>
      </c>
      <c r="E305" t="s">
        <v>3079</v>
      </c>
      <c r="F305" t="s">
        <v>202</v>
      </c>
      <c r="G305" t="s">
        <v>12</v>
      </c>
      <c r="H305" t="s">
        <v>13</v>
      </c>
      <c r="I305" t="str">
        <f>"608-348-7755"</f>
        <v>608-348-7755</v>
      </c>
      <c r="J305" s="11">
        <v>50</v>
      </c>
      <c r="K305" s="11">
        <v>50</v>
      </c>
      <c r="L305" s="11">
        <v>50</v>
      </c>
      <c r="M305" s="11" t="s">
        <v>3050</v>
      </c>
      <c r="N305" s="14">
        <v>43770</v>
      </c>
      <c r="P305" t="s">
        <v>1285</v>
      </c>
      <c r="Q305" t="s">
        <v>15</v>
      </c>
      <c r="R305" t="s">
        <v>16</v>
      </c>
      <c r="T305" t="s">
        <v>17</v>
      </c>
      <c r="U305" t="s">
        <v>18</v>
      </c>
      <c r="V305" s="6" t="s">
        <v>2931</v>
      </c>
      <c r="W305" t="s">
        <v>19</v>
      </c>
      <c r="X305" t="str">
        <f>"608-348-7755"</f>
        <v>608-348-7755</v>
      </c>
      <c r="Y305" t="s">
        <v>21</v>
      </c>
      <c r="Z305" t="s">
        <v>20</v>
      </c>
    </row>
    <row r="306" spans="1:26" x14ac:dyDescent="0.25">
      <c r="A306" t="str">
        <f>"12-12-10"</f>
        <v>12-12-10</v>
      </c>
      <c r="C306" t="s">
        <v>2545</v>
      </c>
      <c r="D306" t="s">
        <v>1353</v>
      </c>
      <c r="E306" t="s">
        <v>3079</v>
      </c>
      <c r="F306" t="s">
        <v>202</v>
      </c>
      <c r="G306" t="s">
        <v>524</v>
      </c>
      <c r="H306" t="s">
        <v>525</v>
      </c>
      <c r="I306" t="str">
        <f>"515-280-2071"</f>
        <v>515-280-2071</v>
      </c>
      <c r="J306" s="11">
        <v>3</v>
      </c>
      <c r="K306" s="11">
        <v>84</v>
      </c>
      <c r="L306" s="11">
        <v>84</v>
      </c>
      <c r="M306" s="11" t="s">
        <v>3050</v>
      </c>
      <c r="N306" s="14">
        <v>44047</v>
      </c>
      <c r="P306" t="s">
        <v>1354</v>
      </c>
      <c r="Q306" t="s">
        <v>527</v>
      </c>
      <c r="R306" t="s">
        <v>528</v>
      </c>
      <c r="T306" t="s">
        <v>17</v>
      </c>
      <c r="U306" t="s">
        <v>18</v>
      </c>
      <c r="V306" s="6" t="s">
        <v>2928</v>
      </c>
      <c r="W306" t="s">
        <v>529</v>
      </c>
      <c r="X306" t="str">
        <f>"515-280-2053"</f>
        <v>515-280-2053</v>
      </c>
      <c r="Y306" t="s">
        <v>21</v>
      </c>
      <c r="Z306" t="s">
        <v>116</v>
      </c>
    </row>
    <row r="307" spans="1:26" x14ac:dyDescent="0.25">
      <c r="A307" t="str">
        <f>"18-14"</f>
        <v>18-14</v>
      </c>
      <c r="C307" t="s">
        <v>2637</v>
      </c>
      <c r="D307" t="s">
        <v>1736</v>
      </c>
      <c r="E307" t="s">
        <v>3079</v>
      </c>
      <c r="F307" t="s">
        <v>202</v>
      </c>
      <c r="G307" t="s">
        <v>834</v>
      </c>
      <c r="H307" t="s">
        <v>835</v>
      </c>
      <c r="I307" t="str">
        <f>"515-707-2619"</f>
        <v>515-707-2619</v>
      </c>
      <c r="J307" s="11">
        <v>1</v>
      </c>
      <c r="K307" s="11">
        <v>34</v>
      </c>
      <c r="L307" s="11">
        <v>30</v>
      </c>
      <c r="M307" s="11" t="s">
        <v>3050</v>
      </c>
      <c r="N307" s="15" t="s">
        <v>3158</v>
      </c>
      <c r="P307" t="s">
        <v>1737</v>
      </c>
      <c r="Q307" t="s">
        <v>837</v>
      </c>
      <c r="R307" t="s">
        <v>838</v>
      </c>
      <c r="T307" t="s">
        <v>60</v>
      </c>
      <c r="U307" t="s">
        <v>18</v>
      </c>
      <c r="V307" s="6" t="s">
        <v>2952</v>
      </c>
      <c r="W307" t="s">
        <v>1738</v>
      </c>
      <c r="X307" t="str">
        <f>"515-554-9773"</f>
        <v>515-554-9773</v>
      </c>
      <c r="Y307" t="s">
        <v>21</v>
      </c>
      <c r="Z307" t="s">
        <v>20</v>
      </c>
    </row>
    <row r="308" spans="1:26" x14ac:dyDescent="0.25">
      <c r="A308" t="str">
        <f>"90-37"</f>
        <v>90-37</v>
      </c>
      <c r="C308" t="s">
        <v>2648</v>
      </c>
      <c r="D308" t="s">
        <v>1789</v>
      </c>
      <c r="E308" t="s">
        <v>3079</v>
      </c>
      <c r="F308" t="s">
        <v>202</v>
      </c>
      <c r="G308" t="s">
        <v>819</v>
      </c>
      <c r="H308" t="s">
        <v>820</v>
      </c>
      <c r="I308" t="str">
        <f>"515-689-8593"</f>
        <v>515-689-8593</v>
      </c>
      <c r="J308" s="11">
        <v>2</v>
      </c>
      <c r="K308" s="11">
        <v>16</v>
      </c>
      <c r="L308" s="11">
        <v>16</v>
      </c>
      <c r="M308" s="11" t="s">
        <v>3051</v>
      </c>
      <c r="N308" s="14">
        <v>42927</v>
      </c>
      <c r="P308" t="s">
        <v>1790</v>
      </c>
      <c r="Q308" t="s">
        <v>820</v>
      </c>
      <c r="R308" t="s">
        <v>822</v>
      </c>
      <c r="S308" t="s">
        <v>823</v>
      </c>
      <c r="T308" t="s">
        <v>824</v>
      </c>
      <c r="U308" t="s">
        <v>18</v>
      </c>
      <c r="V308" s="6" t="s">
        <v>2950</v>
      </c>
      <c r="W308" t="s">
        <v>2879</v>
      </c>
      <c r="X308" t="str">
        <f>"515-689-8593"</f>
        <v>515-689-8593</v>
      </c>
      <c r="Z308" t="s">
        <v>20</v>
      </c>
    </row>
    <row r="309" spans="1:26" x14ac:dyDescent="0.25">
      <c r="A309" t="str">
        <f>"14-14-4"</f>
        <v>14-14-4</v>
      </c>
      <c r="C309" t="s">
        <v>2590</v>
      </c>
      <c r="D309" t="s">
        <v>1544</v>
      </c>
      <c r="E309" t="s">
        <v>3080</v>
      </c>
      <c r="F309" t="s">
        <v>1545</v>
      </c>
      <c r="G309" t="s">
        <v>524</v>
      </c>
      <c r="H309" t="s">
        <v>525</v>
      </c>
      <c r="I309" t="str">
        <f>"515-280-2071"</f>
        <v>515-280-2071</v>
      </c>
      <c r="J309" s="11">
        <v>2</v>
      </c>
      <c r="K309" s="11">
        <v>77</v>
      </c>
      <c r="L309" s="11">
        <v>57</v>
      </c>
      <c r="M309" s="11" t="s">
        <v>3050</v>
      </c>
      <c r="N309" s="14">
        <v>43070</v>
      </c>
      <c r="P309" t="s">
        <v>1546</v>
      </c>
      <c r="Q309" t="s">
        <v>527</v>
      </c>
      <c r="R309" t="s">
        <v>528</v>
      </c>
      <c r="T309" t="s">
        <v>17</v>
      </c>
      <c r="U309" t="s">
        <v>18</v>
      </c>
      <c r="V309" s="6" t="s">
        <v>2928</v>
      </c>
      <c r="W309" t="s">
        <v>529</v>
      </c>
      <c r="X309" t="str">
        <f>"515-280-2053"</f>
        <v>515-280-2053</v>
      </c>
      <c r="Y309" t="s">
        <v>151</v>
      </c>
      <c r="Z309" t="s">
        <v>116</v>
      </c>
    </row>
    <row r="310" spans="1:26" x14ac:dyDescent="0.25">
      <c r="A310" t="str">
        <f>"92-10"</f>
        <v>92-10</v>
      </c>
      <c r="C310" t="s">
        <v>2668</v>
      </c>
      <c r="D310" t="s">
        <v>1895</v>
      </c>
      <c r="E310" t="s">
        <v>3080</v>
      </c>
      <c r="F310" t="s">
        <v>1545</v>
      </c>
      <c r="G310" t="s">
        <v>1818</v>
      </c>
      <c r="H310" t="s">
        <v>1819</v>
      </c>
      <c r="I310" t="str">
        <f>"573-443-2021"</f>
        <v>573-443-2021</v>
      </c>
      <c r="J310" s="11">
        <v>1</v>
      </c>
      <c r="K310" s="11">
        <v>24</v>
      </c>
      <c r="L310" s="11">
        <v>24</v>
      </c>
      <c r="M310" s="11" t="s">
        <v>3051</v>
      </c>
      <c r="N310" s="14">
        <v>43658</v>
      </c>
      <c r="P310" t="s">
        <v>1896</v>
      </c>
      <c r="Q310" t="s">
        <v>1819</v>
      </c>
      <c r="R310" t="s">
        <v>1821</v>
      </c>
      <c r="T310" t="s">
        <v>1822</v>
      </c>
      <c r="U310" t="s">
        <v>237</v>
      </c>
      <c r="V310" s="6" t="s">
        <v>3027</v>
      </c>
      <c r="W310" t="s">
        <v>1823</v>
      </c>
      <c r="X310" t="str">
        <f>"573-443-2021"</f>
        <v>573-443-2021</v>
      </c>
      <c r="Z310" t="s">
        <v>44</v>
      </c>
    </row>
    <row r="311" spans="1:26" x14ac:dyDescent="0.25">
      <c r="A311" t="str">
        <f>"98-73"</f>
        <v>98-73</v>
      </c>
      <c r="B311" t="s">
        <v>2229</v>
      </c>
      <c r="C311" t="s">
        <v>2761</v>
      </c>
      <c r="D311" t="s">
        <v>2230</v>
      </c>
      <c r="E311" t="s">
        <v>3080</v>
      </c>
      <c r="F311" t="s">
        <v>1545</v>
      </c>
      <c r="G311" t="s">
        <v>95</v>
      </c>
      <c r="H311" t="s">
        <v>96</v>
      </c>
      <c r="I311" t="str">
        <f>"402-488-1666"</f>
        <v>402-488-1666</v>
      </c>
      <c r="J311" s="11">
        <v>2</v>
      </c>
      <c r="K311" s="11">
        <v>48</v>
      </c>
      <c r="L311" s="11">
        <v>24</v>
      </c>
      <c r="M311" s="11" t="s">
        <v>3051</v>
      </c>
      <c r="N311" s="14">
        <v>43871</v>
      </c>
      <c r="P311" t="s">
        <v>2231</v>
      </c>
      <c r="Q311" t="s">
        <v>98</v>
      </c>
      <c r="R311" t="s">
        <v>99</v>
      </c>
      <c r="S311" t="s">
        <v>100</v>
      </c>
      <c r="T311" t="s">
        <v>101</v>
      </c>
      <c r="U311" t="s">
        <v>42</v>
      </c>
      <c r="V311" s="6" t="s">
        <v>3047</v>
      </c>
      <c r="W311" t="s">
        <v>102</v>
      </c>
      <c r="X311" t="str">
        <f>"402-488-1666"</f>
        <v>402-488-1666</v>
      </c>
      <c r="Y311" t="s">
        <v>21</v>
      </c>
      <c r="Z311" t="s">
        <v>103</v>
      </c>
    </row>
    <row r="312" spans="1:26" x14ac:dyDescent="0.25">
      <c r="A312" t="str">
        <f>"99-03"</f>
        <v>99-03</v>
      </c>
      <c r="B312" t="s">
        <v>2248</v>
      </c>
      <c r="C312" t="s">
        <v>2765</v>
      </c>
      <c r="D312" t="s">
        <v>2249</v>
      </c>
      <c r="E312" t="s">
        <v>3081</v>
      </c>
      <c r="F312" t="s">
        <v>2250</v>
      </c>
      <c r="G312" t="s">
        <v>295</v>
      </c>
      <c r="H312" t="s">
        <v>296</v>
      </c>
      <c r="I312" t="str">
        <f>"262-790-4560"</f>
        <v>262-790-4560</v>
      </c>
      <c r="J312" s="11">
        <v>1</v>
      </c>
      <c r="K312" s="11">
        <v>16</v>
      </c>
      <c r="L312" s="11">
        <v>16</v>
      </c>
      <c r="M312" s="11" t="s">
        <v>3049</v>
      </c>
      <c r="N312" s="14">
        <v>43726</v>
      </c>
      <c r="P312" t="s">
        <v>2251</v>
      </c>
      <c r="Q312" t="s">
        <v>296</v>
      </c>
      <c r="R312" t="s">
        <v>298</v>
      </c>
      <c r="T312" t="s">
        <v>299</v>
      </c>
      <c r="U312" t="s">
        <v>18</v>
      </c>
      <c r="V312" s="6" t="s">
        <v>2909</v>
      </c>
      <c r="W312" t="s">
        <v>301</v>
      </c>
      <c r="X312" t="str">
        <f>"262-790-4560"</f>
        <v>262-790-4560</v>
      </c>
      <c r="Y312" t="s">
        <v>21</v>
      </c>
      <c r="Z312" t="s">
        <v>20</v>
      </c>
    </row>
    <row r="313" spans="1:26" x14ac:dyDescent="0.25">
      <c r="A313" t="str">
        <f>"90-20"</f>
        <v>90-20</v>
      </c>
      <c r="C313" t="s">
        <v>2643</v>
      </c>
      <c r="D313" t="s">
        <v>1775</v>
      </c>
      <c r="E313" t="s">
        <v>3082</v>
      </c>
      <c r="F313" t="s">
        <v>1776</v>
      </c>
      <c r="G313" t="s">
        <v>78</v>
      </c>
      <c r="H313" t="s">
        <v>79</v>
      </c>
      <c r="I313" t="str">
        <f>"515-225-4782"</f>
        <v>515-225-4782</v>
      </c>
      <c r="J313" s="11">
        <v>4</v>
      </c>
      <c r="K313" s="11">
        <v>24</v>
      </c>
      <c r="L313" s="11">
        <v>24</v>
      </c>
      <c r="M313" s="11" t="s">
        <v>3051</v>
      </c>
      <c r="N313" s="14">
        <v>43704</v>
      </c>
      <c r="P313" t="s">
        <v>1777</v>
      </c>
      <c r="Q313" t="s">
        <v>81</v>
      </c>
      <c r="R313" t="s">
        <v>82</v>
      </c>
      <c r="S313" t="s">
        <v>83</v>
      </c>
      <c r="T313" t="s">
        <v>84</v>
      </c>
      <c r="U313" t="s">
        <v>18</v>
      </c>
      <c r="V313" s="6" t="s">
        <v>2890</v>
      </c>
      <c r="W313" t="s">
        <v>85</v>
      </c>
      <c r="X313" t="str">
        <f>"319-338-7600"</f>
        <v>319-338-7600</v>
      </c>
      <c r="Z313" t="s">
        <v>62</v>
      </c>
    </row>
    <row r="314" spans="1:26" x14ac:dyDescent="0.25">
      <c r="A314" t="str">
        <f>"10-10-286"</f>
        <v>10-10-286</v>
      </c>
      <c r="C314" t="s">
        <v>2522</v>
      </c>
      <c r="D314" t="s">
        <v>1219</v>
      </c>
      <c r="E314" t="s">
        <v>3083</v>
      </c>
      <c r="F314" t="s">
        <v>1220</v>
      </c>
      <c r="G314" t="s">
        <v>1221</v>
      </c>
      <c r="H314" t="s">
        <v>1222</v>
      </c>
      <c r="I314" t="str">
        <f>"316-263-2215"</f>
        <v>316-263-2215</v>
      </c>
      <c r="J314" s="11">
        <v>27</v>
      </c>
      <c r="K314" s="11">
        <v>27</v>
      </c>
      <c r="L314" s="11">
        <v>27</v>
      </c>
      <c r="M314" s="11" t="s">
        <v>3050</v>
      </c>
      <c r="N314" s="14">
        <v>44126</v>
      </c>
      <c r="P314" t="s">
        <v>1223</v>
      </c>
      <c r="Q314" t="s">
        <v>1224</v>
      </c>
      <c r="R314" t="s">
        <v>1225</v>
      </c>
      <c r="T314" t="s">
        <v>1226</v>
      </c>
      <c r="U314" t="s">
        <v>18</v>
      </c>
      <c r="V314" s="6" t="s">
        <v>2978</v>
      </c>
      <c r="W314" t="s">
        <v>1227</v>
      </c>
      <c r="X314" t="str">
        <f>"515-283-0023"</f>
        <v>515-283-0023</v>
      </c>
      <c r="Y314" t="s">
        <v>21</v>
      </c>
      <c r="Z314" t="s">
        <v>20</v>
      </c>
    </row>
    <row r="315" spans="1:26" x14ac:dyDescent="0.25">
      <c r="A315" t="str">
        <f>"90-48"</f>
        <v>90-48</v>
      </c>
      <c r="C315" t="s">
        <v>2882</v>
      </c>
      <c r="D315" t="s">
        <v>1793</v>
      </c>
      <c r="E315" t="s">
        <v>3084</v>
      </c>
      <c r="F315" t="s">
        <v>1273</v>
      </c>
      <c r="G315" t="s">
        <v>142</v>
      </c>
      <c r="H315" t="s">
        <v>143</v>
      </c>
      <c r="I315" t="str">
        <f>"712-580-5360"</f>
        <v>712-580-5360</v>
      </c>
      <c r="J315" s="11">
        <v>1</v>
      </c>
      <c r="K315" s="11">
        <v>8</v>
      </c>
      <c r="L315" s="11">
        <v>8</v>
      </c>
      <c r="M315" s="11" t="s">
        <v>3051</v>
      </c>
      <c r="N315" s="14">
        <v>43633</v>
      </c>
      <c r="P315" t="s">
        <v>1794</v>
      </c>
      <c r="Q315" t="s">
        <v>1795</v>
      </c>
      <c r="R315" t="s">
        <v>1796</v>
      </c>
      <c r="T315" t="s">
        <v>147</v>
      </c>
      <c r="U315" t="s">
        <v>18</v>
      </c>
      <c r="V315" s="6" t="s">
        <v>2895</v>
      </c>
      <c r="W315" t="s">
        <v>1797</v>
      </c>
      <c r="X315" t="str">
        <f>"712-363-5430"</f>
        <v>712-363-5430</v>
      </c>
      <c r="Z315" t="s">
        <v>116</v>
      </c>
    </row>
    <row r="316" spans="1:26" x14ac:dyDescent="0.25">
      <c r="A316" t="str">
        <f>"98-02"</f>
        <v>98-02</v>
      </c>
      <c r="B316" t="s">
        <v>2154</v>
      </c>
      <c r="C316" t="s">
        <v>2739</v>
      </c>
      <c r="D316" t="s">
        <v>2155</v>
      </c>
      <c r="E316" t="s">
        <v>3084</v>
      </c>
      <c r="F316" t="s">
        <v>1273</v>
      </c>
      <c r="G316" t="s">
        <v>55</v>
      </c>
      <c r="H316" t="s">
        <v>56</v>
      </c>
      <c r="I316" t="str">
        <f>"712-262-5965"</f>
        <v>712-262-5965</v>
      </c>
      <c r="J316" s="11">
        <v>2</v>
      </c>
      <c r="K316" s="11">
        <v>14</v>
      </c>
      <c r="L316" s="11">
        <v>14</v>
      </c>
      <c r="M316" s="11" t="s">
        <v>3051</v>
      </c>
      <c r="N316" s="14">
        <v>43593</v>
      </c>
      <c r="P316" t="s">
        <v>2156</v>
      </c>
      <c r="Q316" t="s">
        <v>58</v>
      </c>
      <c r="R316" t="s">
        <v>59</v>
      </c>
      <c r="T316" t="s">
        <v>60</v>
      </c>
      <c r="U316" t="s">
        <v>18</v>
      </c>
      <c r="V316" s="6" t="s">
        <v>2888</v>
      </c>
      <c r="W316" t="s">
        <v>61</v>
      </c>
      <c r="X316" t="str">
        <f>"515-262-5965"</f>
        <v>515-262-5965</v>
      </c>
      <c r="Y316" t="s">
        <v>21</v>
      </c>
      <c r="Z316" t="s">
        <v>62</v>
      </c>
    </row>
    <row r="317" spans="1:26" x14ac:dyDescent="0.25">
      <c r="A317" t="str">
        <f>"98-10"</f>
        <v>98-10</v>
      </c>
      <c r="B317" t="s">
        <v>2167</v>
      </c>
      <c r="C317" t="s">
        <v>2743</v>
      </c>
      <c r="D317" t="s">
        <v>2168</v>
      </c>
      <c r="E317" t="s">
        <v>3085</v>
      </c>
      <c r="F317" t="s">
        <v>1494</v>
      </c>
      <c r="G317" t="s">
        <v>55</v>
      </c>
      <c r="H317" t="s">
        <v>56</v>
      </c>
      <c r="I317" t="str">
        <f>"712-262-5965"</f>
        <v>712-262-5965</v>
      </c>
      <c r="J317" s="11">
        <v>2</v>
      </c>
      <c r="K317" s="11">
        <v>16</v>
      </c>
      <c r="L317" s="11">
        <v>16</v>
      </c>
      <c r="M317" s="11" t="s">
        <v>3051</v>
      </c>
      <c r="N317" s="14">
        <v>43596</v>
      </c>
      <c r="P317" t="s">
        <v>2169</v>
      </c>
      <c r="Q317" t="s">
        <v>58</v>
      </c>
      <c r="R317" t="s">
        <v>59</v>
      </c>
      <c r="T317" t="s">
        <v>60</v>
      </c>
      <c r="U317" t="s">
        <v>18</v>
      </c>
      <c r="V317" s="6" t="s">
        <v>2888</v>
      </c>
      <c r="W317" t="s">
        <v>61</v>
      </c>
      <c r="X317" t="str">
        <f>"515-262-5965"</f>
        <v>515-262-5965</v>
      </c>
      <c r="Y317" t="s">
        <v>21</v>
      </c>
      <c r="Z317" t="s">
        <v>62</v>
      </c>
    </row>
    <row r="318" spans="1:26" x14ac:dyDescent="0.25">
      <c r="A318" t="str">
        <f>"15-15-4"</f>
        <v>15-15-4</v>
      </c>
      <c r="B318" t="s">
        <v>1614</v>
      </c>
      <c r="C318" t="s">
        <v>2607</v>
      </c>
      <c r="D318" t="s">
        <v>1615</v>
      </c>
      <c r="E318" t="s">
        <v>3086</v>
      </c>
      <c r="F318" t="s">
        <v>1494</v>
      </c>
      <c r="G318" t="s">
        <v>1495</v>
      </c>
      <c r="H318" t="s">
        <v>1496</v>
      </c>
      <c r="I318" t="str">
        <f>"402-434-3344"</f>
        <v>402-434-3344</v>
      </c>
      <c r="J318" s="11">
        <v>6</v>
      </c>
      <c r="K318" s="11">
        <v>12</v>
      </c>
      <c r="L318" s="11">
        <v>12</v>
      </c>
      <c r="M318" s="11" t="s">
        <v>3049</v>
      </c>
      <c r="N318" s="14">
        <v>43593</v>
      </c>
      <c r="P318" t="s">
        <v>1616</v>
      </c>
      <c r="Q318" t="s">
        <v>1498</v>
      </c>
      <c r="R318" t="s">
        <v>1499</v>
      </c>
      <c r="T318" t="s">
        <v>101</v>
      </c>
      <c r="U318" t="s">
        <v>42</v>
      </c>
      <c r="V318" s="6" t="s">
        <v>2992</v>
      </c>
      <c r="W318" t="s">
        <v>1500</v>
      </c>
      <c r="X318" t="str">
        <f>"402-434-3344"</f>
        <v>402-434-3344</v>
      </c>
      <c r="Y318" t="s">
        <v>21</v>
      </c>
      <c r="Z318" t="s">
        <v>116</v>
      </c>
    </row>
    <row r="319" spans="1:26" x14ac:dyDescent="0.25">
      <c r="A319" t="str">
        <f>"06-42"</f>
        <v>06-42</v>
      </c>
      <c r="B319" t="s">
        <v>762</v>
      </c>
      <c r="C319" t="s">
        <v>2429</v>
      </c>
      <c r="D319" t="s">
        <v>763</v>
      </c>
      <c r="E319" t="s">
        <v>764</v>
      </c>
      <c r="F319" t="s">
        <v>764</v>
      </c>
      <c r="G319" t="s">
        <v>392</v>
      </c>
      <c r="H319" t="s">
        <v>393</v>
      </c>
      <c r="I319" t="str">
        <f>"651-209-0531"</f>
        <v>651-209-0531</v>
      </c>
      <c r="J319" s="11">
        <v>5</v>
      </c>
      <c r="K319" s="11">
        <v>19</v>
      </c>
      <c r="L319" s="11">
        <v>19</v>
      </c>
      <c r="M319" s="11" t="s">
        <v>3049</v>
      </c>
      <c r="N319" s="14">
        <v>43532</v>
      </c>
      <c r="P319" t="s">
        <v>765</v>
      </c>
      <c r="Q319" t="s">
        <v>395</v>
      </c>
      <c r="R319" t="s">
        <v>396</v>
      </c>
      <c r="S319" t="s">
        <v>100</v>
      </c>
      <c r="T319" t="s">
        <v>30</v>
      </c>
      <c r="U319" t="s">
        <v>31</v>
      </c>
      <c r="V319" s="6" t="s">
        <v>2918</v>
      </c>
      <c r="W319" t="s">
        <v>397</v>
      </c>
      <c r="X319" t="str">
        <f>"651-815-0665"</f>
        <v>651-815-0665</v>
      </c>
      <c r="Y319" t="s">
        <v>21</v>
      </c>
      <c r="Z319" t="s">
        <v>20</v>
      </c>
    </row>
    <row r="320" spans="1:26" x14ac:dyDescent="0.25">
      <c r="A320" t="str">
        <f>"94-23"</f>
        <v>94-23</v>
      </c>
      <c r="C320" t="s">
        <v>2699</v>
      </c>
      <c r="D320" t="s">
        <v>2011</v>
      </c>
      <c r="E320" t="s">
        <v>764</v>
      </c>
      <c r="F320" t="s">
        <v>764</v>
      </c>
      <c r="G320" t="s">
        <v>142</v>
      </c>
      <c r="H320" t="s">
        <v>143</v>
      </c>
      <c r="I320" t="str">
        <f>"712-580-5360"</f>
        <v>712-580-5360</v>
      </c>
      <c r="J320" s="11">
        <v>3</v>
      </c>
      <c r="K320" s="11">
        <v>20</v>
      </c>
      <c r="L320" s="11">
        <v>20</v>
      </c>
      <c r="M320" s="11" t="s">
        <v>3051</v>
      </c>
      <c r="N320" s="14">
        <v>44138</v>
      </c>
      <c r="P320" t="s">
        <v>2012</v>
      </c>
      <c r="Q320" t="s">
        <v>145</v>
      </c>
      <c r="R320" t="s">
        <v>146</v>
      </c>
      <c r="T320" t="s">
        <v>147</v>
      </c>
      <c r="U320" t="s">
        <v>18</v>
      </c>
      <c r="V320" s="6" t="s">
        <v>2895</v>
      </c>
      <c r="W320" t="s">
        <v>148</v>
      </c>
      <c r="X320" t="str">
        <f>"712-240-2188"</f>
        <v>712-240-2188</v>
      </c>
      <c r="Z320" t="s">
        <v>116</v>
      </c>
    </row>
    <row r="321" spans="1:26" x14ac:dyDescent="0.25">
      <c r="A321" t="str">
        <f>"99-02"</f>
        <v>99-02</v>
      </c>
      <c r="B321" t="s">
        <v>2245</v>
      </c>
      <c r="C321" t="s">
        <v>2863</v>
      </c>
      <c r="D321" t="s">
        <v>2246</v>
      </c>
      <c r="E321" t="s">
        <v>764</v>
      </c>
      <c r="F321" t="s">
        <v>764</v>
      </c>
      <c r="G321" t="s">
        <v>55</v>
      </c>
      <c r="H321" t="s">
        <v>56</v>
      </c>
      <c r="I321" t="str">
        <f>"712-262-5965"</f>
        <v>712-262-5965</v>
      </c>
      <c r="J321" s="11">
        <v>1</v>
      </c>
      <c r="K321" s="11">
        <v>12</v>
      </c>
      <c r="L321" s="11">
        <v>12</v>
      </c>
      <c r="M321" s="11" t="s">
        <v>3049</v>
      </c>
      <c r="N321" s="14">
        <v>43532</v>
      </c>
      <c r="P321" t="s">
        <v>2247</v>
      </c>
      <c r="Q321" t="s">
        <v>58</v>
      </c>
      <c r="R321" t="s">
        <v>59</v>
      </c>
      <c r="T321" t="s">
        <v>60</v>
      </c>
      <c r="U321" t="s">
        <v>18</v>
      </c>
      <c r="V321" s="6" t="s">
        <v>2888</v>
      </c>
      <c r="W321" t="s">
        <v>61</v>
      </c>
      <c r="X321" t="str">
        <f>"515-262-5965"</f>
        <v>515-262-5965</v>
      </c>
      <c r="Y321" t="s">
        <v>21</v>
      </c>
      <c r="Z321" t="s">
        <v>62</v>
      </c>
    </row>
    <row r="322" spans="1:26" x14ac:dyDescent="0.25">
      <c r="A322" t="str">
        <f>"95-12"</f>
        <v>95-12</v>
      </c>
      <c r="B322" t="s">
        <v>2044</v>
      </c>
      <c r="C322" t="s">
        <v>2862</v>
      </c>
      <c r="D322" t="s">
        <v>2045</v>
      </c>
      <c r="E322" t="s">
        <v>3087</v>
      </c>
      <c r="F322" t="s">
        <v>2046</v>
      </c>
      <c r="G322" t="s">
        <v>78</v>
      </c>
      <c r="H322" t="s">
        <v>79</v>
      </c>
      <c r="I322" t="str">
        <f>"515-225-4782"</f>
        <v>515-225-4782</v>
      </c>
      <c r="J322" s="11">
        <v>3</v>
      </c>
      <c r="K322" s="11">
        <v>24</v>
      </c>
      <c r="L322" s="11">
        <v>24</v>
      </c>
      <c r="M322" s="11" t="s">
        <v>3051</v>
      </c>
      <c r="N322" s="14">
        <v>42803</v>
      </c>
      <c r="P322" t="s">
        <v>2047</v>
      </c>
      <c r="Q322" t="s">
        <v>81</v>
      </c>
      <c r="R322" t="s">
        <v>82</v>
      </c>
      <c r="S322" t="s">
        <v>83</v>
      </c>
      <c r="T322" t="s">
        <v>84</v>
      </c>
      <c r="U322" t="s">
        <v>18</v>
      </c>
      <c r="V322" s="6" t="s">
        <v>2890</v>
      </c>
      <c r="W322" t="s">
        <v>85</v>
      </c>
      <c r="X322" t="str">
        <f>"319-338-7600"</f>
        <v>319-338-7600</v>
      </c>
      <c r="Y322" t="s">
        <v>21</v>
      </c>
      <c r="Z322" t="s">
        <v>62</v>
      </c>
    </row>
    <row r="323" spans="1:26" x14ac:dyDescent="0.25">
      <c r="A323" t="str">
        <f>"91-49"</f>
        <v>91-49</v>
      </c>
      <c r="C323" t="s">
        <v>2663</v>
      </c>
      <c r="D323" t="s">
        <v>1867</v>
      </c>
      <c r="E323" t="s">
        <v>3088</v>
      </c>
      <c r="F323" t="s">
        <v>1868</v>
      </c>
      <c r="G323" t="s">
        <v>1755</v>
      </c>
      <c r="H323" t="s">
        <v>1756</v>
      </c>
      <c r="I323" t="str">
        <f>"319-334-7110"</f>
        <v>319-334-7110</v>
      </c>
      <c r="J323" s="11">
        <v>2</v>
      </c>
      <c r="K323" s="11">
        <v>16</v>
      </c>
      <c r="L323" s="11">
        <v>15</v>
      </c>
      <c r="M323" s="11" t="s">
        <v>3051</v>
      </c>
      <c r="N323" s="14">
        <v>43696</v>
      </c>
      <c r="P323" t="s">
        <v>1869</v>
      </c>
      <c r="Q323" t="s">
        <v>1870</v>
      </c>
      <c r="R323" t="s">
        <v>1871</v>
      </c>
      <c r="S323" t="s">
        <v>1872</v>
      </c>
      <c r="T323" t="s">
        <v>60</v>
      </c>
      <c r="U323" t="s">
        <v>18</v>
      </c>
      <c r="V323" s="6" t="s">
        <v>3029</v>
      </c>
      <c r="W323" t="s">
        <v>1873</v>
      </c>
      <c r="X323" t="str">
        <f>"515-288-2500"</f>
        <v>515-288-2500</v>
      </c>
      <c r="Z323" t="s">
        <v>116</v>
      </c>
    </row>
    <row r="324" spans="1:26" x14ac:dyDescent="0.25">
      <c r="A324" t="s">
        <v>2288</v>
      </c>
      <c r="B324" t="s">
        <v>2288</v>
      </c>
      <c r="C324" t="s">
        <v>2778</v>
      </c>
      <c r="D324" t="s">
        <v>2289</v>
      </c>
      <c r="E324" t="s">
        <v>3088</v>
      </c>
      <c r="F324" t="s">
        <v>1868</v>
      </c>
      <c r="G324" t="s">
        <v>2290</v>
      </c>
      <c r="H324" t="s">
        <v>2291</v>
      </c>
      <c r="I324" t="str">
        <f>"319-292-1869"</f>
        <v>319-292-1869</v>
      </c>
      <c r="J324" s="11">
        <v>0</v>
      </c>
      <c r="K324" s="11">
        <v>8</v>
      </c>
      <c r="L324" s="11">
        <v>8</v>
      </c>
      <c r="M324" s="11" t="s">
        <v>3049</v>
      </c>
      <c r="N324" s="14">
        <v>43572</v>
      </c>
      <c r="P324" t="s">
        <v>2290</v>
      </c>
      <c r="Q324" t="s">
        <v>2292</v>
      </c>
      <c r="R324" t="s">
        <v>2293</v>
      </c>
      <c r="T324" t="s">
        <v>41</v>
      </c>
      <c r="U324" t="s">
        <v>18</v>
      </c>
      <c r="V324" s="6" t="s">
        <v>3048</v>
      </c>
      <c r="W324" t="s">
        <v>2294</v>
      </c>
      <c r="X324" t="str">
        <f>"319-292-1877"</f>
        <v>319-292-1877</v>
      </c>
      <c r="Y324" t="s">
        <v>21</v>
      </c>
      <c r="Z324" t="s">
        <v>116</v>
      </c>
    </row>
    <row r="325" spans="1:26" x14ac:dyDescent="0.25">
      <c r="A325" t="str">
        <f>"00-22"</f>
        <v>00-22</v>
      </c>
      <c r="B325" t="s">
        <v>75</v>
      </c>
      <c r="C325" t="s">
        <v>2324</v>
      </c>
      <c r="D325" t="s">
        <v>76</v>
      </c>
      <c r="E325" t="s">
        <v>84</v>
      </c>
      <c r="F325" t="s">
        <v>77</v>
      </c>
      <c r="G325" t="s">
        <v>78</v>
      </c>
      <c r="H325" t="s">
        <v>79</v>
      </c>
      <c r="I325" t="str">
        <f>"515-225-4782"</f>
        <v>515-225-4782</v>
      </c>
      <c r="J325" s="11">
        <v>1</v>
      </c>
      <c r="K325" s="11">
        <v>30</v>
      </c>
      <c r="L325" s="11">
        <v>30</v>
      </c>
      <c r="M325" s="11" t="s">
        <v>3149</v>
      </c>
      <c r="N325" s="14">
        <v>43985</v>
      </c>
      <c r="P325" t="s">
        <v>80</v>
      </c>
      <c r="Q325" t="s">
        <v>81</v>
      </c>
      <c r="R325" t="s">
        <v>82</v>
      </c>
      <c r="S325" t="s">
        <v>83</v>
      </c>
      <c r="T325" t="s">
        <v>84</v>
      </c>
      <c r="U325" t="s">
        <v>18</v>
      </c>
      <c r="V325" s="6" t="s">
        <v>2890</v>
      </c>
      <c r="W325" t="s">
        <v>85</v>
      </c>
      <c r="X325" t="str">
        <f>"319-338-7600"</f>
        <v>319-338-7600</v>
      </c>
      <c r="Y325" t="s">
        <v>21</v>
      </c>
      <c r="Z325" t="s">
        <v>62</v>
      </c>
    </row>
    <row r="326" spans="1:26" x14ac:dyDescent="0.25">
      <c r="A326" t="str">
        <f>"00-25"</f>
        <v>00-25</v>
      </c>
      <c r="C326" t="s">
        <v>2788</v>
      </c>
      <c r="D326" t="s">
        <v>94</v>
      </c>
      <c r="E326" t="s">
        <v>84</v>
      </c>
      <c r="F326" t="s">
        <v>77</v>
      </c>
      <c r="G326" t="s">
        <v>95</v>
      </c>
      <c r="H326" t="s">
        <v>96</v>
      </c>
      <c r="I326" t="str">
        <f>"402-488-1666"</f>
        <v>402-488-1666</v>
      </c>
      <c r="J326" s="11">
        <v>1</v>
      </c>
      <c r="K326" s="11">
        <v>38</v>
      </c>
      <c r="L326" s="11">
        <v>38</v>
      </c>
      <c r="M326" s="11" t="s">
        <v>3051</v>
      </c>
      <c r="N326" s="14">
        <v>43844</v>
      </c>
      <c r="P326" t="s">
        <v>97</v>
      </c>
      <c r="Q326" t="s">
        <v>98</v>
      </c>
      <c r="R326" t="s">
        <v>99</v>
      </c>
      <c r="S326" t="s">
        <v>100</v>
      </c>
      <c r="T326" t="s">
        <v>101</v>
      </c>
      <c r="U326" t="s">
        <v>42</v>
      </c>
      <c r="V326" s="6" t="s">
        <v>2891</v>
      </c>
      <c r="W326" t="s">
        <v>102</v>
      </c>
      <c r="X326" t="str">
        <f>"402-488-1666"</f>
        <v>402-488-1666</v>
      </c>
      <c r="Y326" t="s">
        <v>21</v>
      </c>
      <c r="Z326" t="s">
        <v>103</v>
      </c>
    </row>
    <row r="327" spans="1:26" x14ac:dyDescent="0.25">
      <c r="A327" t="str">
        <f>"02-11"</f>
        <v>02-11</v>
      </c>
      <c r="C327" t="s">
        <v>2344</v>
      </c>
      <c r="D327" t="s">
        <v>264</v>
      </c>
      <c r="E327" t="s">
        <v>84</v>
      </c>
      <c r="F327" t="s">
        <v>77</v>
      </c>
      <c r="G327" t="s">
        <v>78</v>
      </c>
      <c r="H327" t="s">
        <v>79</v>
      </c>
      <c r="I327" t="str">
        <f>"515-225-4782"</f>
        <v>515-225-4782</v>
      </c>
      <c r="J327" s="11">
        <v>1</v>
      </c>
      <c r="K327" s="11">
        <v>54</v>
      </c>
      <c r="L327" s="11">
        <v>54</v>
      </c>
      <c r="M327" s="11" t="s">
        <v>3051</v>
      </c>
      <c r="N327" s="14">
        <v>43032</v>
      </c>
      <c r="P327" t="s">
        <v>265</v>
      </c>
      <c r="Q327" t="s">
        <v>81</v>
      </c>
      <c r="R327" t="s">
        <v>82</v>
      </c>
      <c r="S327" t="s">
        <v>83</v>
      </c>
      <c r="T327" t="s">
        <v>84</v>
      </c>
      <c r="U327" t="s">
        <v>18</v>
      </c>
      <c r="V327" s="6" t="s">
        <v>2890</v>
      </c>
      <c r="W327" t="s">
        <v>85</v>
      </c>
      <c r="X327" t="str">
        <f>"319-338-7600"</f>
        <v>319-338-7600</v>
      </c>
      <c r="Y327" t="s">
        <v>21</v>
      </c>
      <c r="Z327" t="s">
        <v>62</v>
      </c>
    </row>
    <row r="328" spans="1:26" x14ac:dyDescent="0.25">
      <c r="A328" t="s">
        <v>361</v>
      </c>
      <c r="B328" t="s">
        <v>361</v>
      </c>
      <c r="C328" t="s">
        <v>153</v>
      </c>
      <c r="D328" t="s">
        <v>362</v>
      </c>
      <c r="E328" t="s">
        <v>84</v>
      </c>
      <c r="F328" t="s">
        <v>77</v>
      </c>
      <c r="G328" t="s">
        <v>153</v>
      </c>
      <c r="H328" t="s">
        <v>154</v>
      </c>
      <c r="I328" t="str">
        <f>"319-358-9212"</f>
        <v>319-358-9212</v>
      </c>
      <c r="J328" s="11">
        <v>0</v>
      </c>
      <c r="K328" s="11">
        <v>17</v>
      </c>
      <c r="L328" s="11">
        <v>17</v>
      </c>
      <c r="M328" s="11" t="s">
        <v>3049</v>
      </c>
      <c r="N328" s="14">
        <v>43669</v>
      </c>
      <c r="P328" t="s">
        <v>153</v>
      </c>
      <c r="Q328" t="s">
        <v>154</v>
      </c>
      <c r="R328" t="s">
        <v>152</v>
      </c>
      <c r="T328" t="s">
        <v>84</v>
      </c>
      <c r="U328" t="s">
        <v>18</v>
      </c>
      <c r="V328" s="6" t="s">
        <v>2896</v>
      </c>
      <c r="W328" t="s">
        <v>155</v>
      </c>
      <c r="X328" t="str">
        <f>"319-358-9212"</f>
        <v>319-358-9212</v>
      </c>
      <c r="Y328" t="s">
        <v>21</v>
      </c>
      <c r="Z328" t="s">
        <v>44</v>
      </c>
    </row>
    <row r="329" spans="1:26" x14ac:dyDescent="0.25">
      <c r="A329" t="s">
        <v>555</v>
      </c>
      <c r="B329" t="s">
        <v>555</v>
      </c>
      <c r="C329" t="s">
        <v>2392</v>
      </c>
      <c r="D329" t="s">
        <v>556</v>
      </c>
      <c r="E329" t="s">
        <v>84</v>
      </c>
      <c r="F329" t="s">
        <v>77</v>
      </c>
      <c r="G329" t="s">
        <v>153</v>
      </c>
      <c r="H329" t="s">
        <v>154</v>
      </c>
      <c r="I329" t="str">
        <f>"319-358-9212"</f>
        <v>319-358-9212</v>
      </c>
      <c r="J329" s="11">
        <v>0</v>
      </c>
      <c r="K329" s="11">
        <v>6</v>
      </c>
      <c r="L329" s="11">
        <v>6</v>
      </c>
      <c r="M329" s="11" t="s">
        <v>3049</v>
      </c>
      <c r="N329" s="14">
        <v>44140</v>
      </c>
      <c r="P329" t="s">
        <v>153</v>
      </c>
      <c r="Q329" t="s">
        <v>154</v>
      </c>
      <c r="R329" t="s">
        <v>152</v>
      </c>
      <c r="T329" t="s">
        <v>84</v>
      </c>
      <c r="U329" t="s">
        <v>18</v>
      </c>
      <c r="V329" s="6" t="s">
        <v>2896</v>
      </c>
      <c r="W329" t="s">
        <v>155</v>
      </c>
      <c r="X329" t="str">
        <f>"319-358-9212"</f>
        <v>319-358-9212</v>
      </c>
      <c r="Y329" t="s">
        <v>21</v>
      </c>
      <c r="Z329" t="s">
        <v>44</v>
      </c>
    </row>
    <row r="330" spans="1:26" x14ac:dyDescent="0.25">
      <c r="A330" t="str">
        <f>"05-18"</f>
        <v>05-18</v>
      </c>
      <c r="B330" t="s">
        <v>578</v>
      </c>
      <c r="C330" t="s">
        <v>2396</v>
      </c>
      <c r="D330" t="s">
        <v>579</v>
      </c>
      <c r="E330" t="s">
        <v>84</v>
      </c>
      <c r="F330" t="s">
        <v>77</v>
      </c>
      <c r="G330" t="s">
        <v>153</v>
      </c>
      <c r="H330" t="s">
        <v>154</v>
      </c>
      <c r="I330" t="str">
        <f>"319-358-9212"</f>
        <v>319-358-9212</v>
      </c>
      <c r="J330" s="11">
        <v>6</v>
      </c>
      <c r="K330" s="11">
        <v>12</v>
      </c>
      <c r="L330" s="11">
        <v>12</v>
      </c>
      <c r="M330" s="11" t="s">
        <v>3049</v>
      </c>
      <c r="N330" s="14">
        <v>44140</v>
      </c>
      <c r="P330" t="s">
        <v>580</v>
      </c>
      <c r="Q330" t="s">
        <v>154</v>
      </c>
      <c r="R330" t="s">
        <v>152</v>
      </c>
      <c r="T330" t="s">
        <v>84</v>
      </c>
      <c r="U330" t="s">
        <v>18</v>
      </c>
      <c r="V330" s="6" t="s">
        <v>2896</v>
      </c>
      <c r="W330" t="s">
        <v>581</v>
      </c>
      <c r="X330" t="str">
        <f>"319-358-9212"</f>
        <v>319-358-9212</v>
      </c>
      <c r="Y330" t="s">
        <v>21</v>
      </c>
      <c r="Z330" t="s">
        <v>44</v>
      </c>
    </row>
    <row r="331" spans="1:26" x14ac:dyDescent="0.25">
      <c r="A331" t="str">
        <f>"06-12"</f>
        <v>06-12</v>
      </c>
      <c r="B331" t="s">
        <v>693</v>
      </c>
      <c r="C331" t="s">
        <v>2420</v>
      </c>
      <c r="D331" t="s">
        <v>694</v>
      </c>
      <c r="E331" t="s">
        <v>84</v>
      </c>
      <c r="F331" t="s">
        <v>77</v>
      </c>
      <c r="G331" t="s">
        <v>78</v>
      </c>
      <c r="H331" t="s">
        <v>79</v>
      </c>
      <c r="I331" t="str">
        <f>"515-225-4782"</f>
        <v>515-225-4782</v>
      </c>
      <c r="J331" s="11">
        <v>2</v>
      </c>
      <c r="K331" s="11">
        <v>18</v>
      </c>
      <c r="L331" s="11">
        <v>18</v>
      </c>
      <c r="M331" s="11" t="s">
        <v>3049</v>
      </c>
      <c r="N331" s="14">
        <v>44120</v>
      </c>
      <c r="P331" t="s">
        <v>695</v>
      </c>
      <c r="Q331" t="s">
        <v>696</v>
      </c>
      <c r="R331" t="s">
        <v>697</v>
      </c>
      <c r="T331" t="s">
        <v>84</v>
      </c>
      <c r="U331" t="s">
        <v>18</v>
      </c>
      <c r="V331" s="6" t="s">
        <v>2942</v>
      </c>
      <c r="W331" t="s">
        <v>698</v>
      </c>
      <c r="X331" t="str">
        <f>"319-887-2701"</f>
        <v>319-887-2701</v>
      </c>
      <c r="Y331" t="s">
        <v>21</v>
      </c>
      <c r="Z331" t="s">
        <v>62</v>
      </c>
    </row>
    <row r="332" spans="1:26" x14ac:dyDescent="0.25">
      <c r="A332" t="str">
        <f>"07-11"</f>
        <v>07-11</v>
      </c>
      <c r="C332" t="s">
        <v>2437</v>
      </c>
      <c r="D332" t="s">
        <v>815</v>
      </c>
      <c r="E332" t="s">
        <v>84</v>
      </c>
      <c r="F332" t="s">
        <v>77</v>
      </c>
      <c r="G332" t="s">
        <v>153</v>
      </c>
      <c r="H332" t="s">
        <v>154</v>
      </c>
      <c r="I332" t="str">
        <f>"319-358-9212"</f>
        <v>319-358-9212</v>
      </c>
      <c r="J332" s="11">
        <v>8</v>
      </c>
      <c r="K332" s="11">
        <v>14</v>
      </c>
      <c r="L332" s="11">
        <v>14</v>
      </c>
      <c r="M332" s="11" t="s">
        <v>3050</v>
      </c>
      <c r="N332" s="14">
        <v>43376</v>
      </c>
      <c r="P332" t="s">
        <v>816</v>
      </c>
      <c r="Q332" t="s">
        <v>154</v>
      </c>
      <c r="R332" t="s">
        <v>152</v>
      </c>
      <c r="T332" t="s">
        <v>84</v>
      </c>
      <c r="U332" t="s">
        <v>18</v>
      </c>
      <c r="V332" s="6" t="s">
        <v>2896</v>
      </c>
      <c r="W332" t="s">
        <v>581</v>
      </c>
      <c r="X332" t="str">
        <f>"319-358-9212"</f>
        <v>319-358-9212</v>
      </c>
      <c r="Y332" t="s">
        <v>151</v>
      </c>
      <c r="Z332" t="s">
        <v>44</v>
      </c>
    </row>
    <row r="333" spans="1:26" x14ac:dyDescent="0.25">
      <c r="A333" t="str">
        <f>"08-0912"</f>
        <v>08-0912</v>
      </c>
      <c r="B333" t="s">
        <v>966</v>
      </c>
      <c r="C333" t="s">
        <v>2463</v>
      </c>
      <c r="D333" t="s">
        <v>967</v>
      </c>
      <c r="E333" t="s">
        <v>84</v>
      </c>
      <c r="F333" t="s">
        <v>77</v>
      </c>
      <c r="G333" t="s">
        <v>153</v>
      </c>
      <c r="H333" t="s">
        <v>154</v>
      </c>
      <c r="I333" t="str">
        <f>"319-358-9212"</f>
        <v>319-358-9212</v>
      </c>
      <c r="J333" s="11">
        <v>20</v>
      </c>
      <c r="K333" s="11">
        <v>22</v>
      </c>
      <c r="L333" s="11">
        <v>22</v>
      </c>
      <c r="M333" s="11" t="s">
        <v>3049</v>
      </c>
      <c r="N333" s="14">
        <v>43621</v>
      </c>
      <c r="P333" t="s">
        <v>968</v>
      </c>
      <c r="Q333" t="s">
        <v>969</v>
      </c>
      <c r="R333" t="s">
        <v>152</v>
      </c>
      <c r="T333" t="s">
        <v>84</v>
      </c>
      <c r="U333" t="s">
        <v>18</v>
      </c>
      <c r="V333" s="6" t="s">
        <v>2896</v>
      </c>
      <c r="W333" t="s">
        <v>581</v>
      </c>
      <c r="X333" t="str">
        <f>"319-358-9212"</f>
        <v>319-358-9212</v>
      </c>
      <c r="Y333" t="s">
        <v>21</v>
      </c>
      <c r="Z333" t="s">
        <v>44</v>
      </c>
    </row>
    <row r="334" spans="1:26" x14ac:dyDescent="0.25">
      <c r="A334" t="str">
        <f>"11-11-46"</f>
        <v>11-11-46</v>
      </c>
      <c r="B334" t="s">
        <v>1309</v>
      </c>
      <c r="C334" t="s">
        <v>1311</v>
      </c>
      <c r="D334" t="s">
        <v>1310</v>
      </c>
      <c r="E334" t="s">
        <v>84</v>
      </c>
      <c r="F334" t="s">
        <v>77</v>
      </c>
      <c r="G334" t="s">
        <v>153</v>
      </c>
      <c r="H334" t="s">
        <v>154</v>
      </c>
      <c r="I334" t="str">
        <f>"319-358-9212"</f>
        <v>319-358-9212</v>
      </c>
      <c r="J334" s="11">
        <v>15</v>
      </c>
      <c r="K334" s="11">
        <v>22</v>
      </c>
      <c r="L334" s="11">
        <v>22</v>
      </c>
      <c r="M334" s="11" t="s">
        <v>3049</v>
      </c>
      <c r="N334" s="14">
        <v>44147</v>
      </c>
      <c r="P334" t="s">
        <v>1311</v>
      </c>
      <c r="Q334" t="s">
        <v>154</v>
      </c>
      <c r="R334" t="s">
        <v>152</v>
      </c>
      <c r="T334" t="s">
        <v>84</v>
      </c>
      <c r="U334" t="s">
        <v>18</v>
      </c>
      <c r="V334" s="6" t="s">
        <v>2896</v>
      </c>
      <c r="W334" t="s">
        <v>581</v>
      </c>
      <c r="X334" t="str">
        <f>"319-358-9212"</f>
        <v>319-358-9212</v>
      </c>
      <c r="Y334" t="s">
        <v>21</v>
      </c>
      <c r="Z334" t="s">
        <v>44</v>
      </c>
    </row>
    <row r="335" spans="1:26" x14ac:dyDescent="0.25">
      <c r="A335" t="s">
        <v>1341</v>
      </c>
      <c r="B335" t="s">
        <v>1341</v>
      </c>
      <c r="C335" t="s">
        <v>2855</v>
      </c>
      <c r="D335" t="s">
        <v>1342</v>
      </c>
      <c r="E335" t="s">
        <v>84</v>
      </c>
      <c r="F335" t="s">
        <v>77</v>
      </c>
      <c r="G335" t="s">
        <v>153</v>
      </c>
      <c r="H335" t="s">
        <v>154</v>
      </c>
      <c r="I335" t="str">
        <f>"319-358-9212"</f>
        <v>319-358-9212</v>
      </c>
      <c r="J335" s="11">
        <v>0</v>
      </c>
      <c r="K335" s="11">
        <v>5</v>
      </c>
      <c r="L335" s="11">
        <v>5</v>
      </c>
      <c r="M335" s="11" t="s">
        <v>3050</v>
      </c>
      <c r="N335" s="14">
        <v>43671</v>
      </c>
      <c r="P335" t="s">
        <v>153</v>
      </c>
      <c r="Q335" t="s">
        <v>154</v>
      </c>
      <c r="R335" t="s">
        <v>152</v>
      </c>
      <c r="T335" t="s">
        <v>84</v>
      </c>
      <c r="U335" t="s">
        <v>18</v>
      </c>
      <c r="V335" s="6" t="s">
        <v>2896</v>
      </c>
      <c r="W335" t="s">
        <v>581</v>
      </c>
      <c r="X335" t="str">
        <f>"319-358-9212"</f>
        <v>319-358-9212</v>
      </c>
      <c r="Y335" t="s">
        <v>33</v>
      </c>
      <c r="Z335" t="s">
        <v>44</v>
      </c>
    </row>
    <row r="336" spans="1:26" x14ac:dyDescent="0.25">
      <c r="A336" t="s">
        <v>1557</v>
      </c>
      <c r="B336" t="s">
        <v>1557</v>
      </c>
      <c r="C336" t="s">
        <v>2592</v>
      </c>
      <c r="D336" t="s">
        <v>1558</v>
      </c>
      <c r="E336" t="s">
        <v>84</v>
      </c>
      <c r="F336" t="s">
        <v>77</v>
      </c>
      <c r="G336" t="s">
        <v>153</v>
      </c>
      <c r="H336" t="s">
        <v>154</v>
      </c>
      <c r="I336" t="str">
        <f>"319-358-9212"</f>
        <v>319-358-9212</v>
      </c>
      <c r="J336" s="11">
        <v>0</v>
      </c>
      <c r="K336" s="11">
        <v>5</v>
      </c>
      <c r="L336" s="11">
        <v>5</v>
      </c>
      <c r="M336" s="11" t="s">
        <v>3050</v>
      </c>
      <c r="N336" s="14">
        <v>43671</v>
      </c>
      <c r="P336" t="s">
        <v>153</v>
      </c>
      <c r="Q336" t="s">
        <v>154</v>
      </c>
      <c r="R336" t="s">
        <v>152</v>
      </c>
      <c r="T336" t="s">
        <v>84</v>
      </c>
      <c r="U336" t="s">
        <v>18</v>
      </c>
      <c r="V336" s="6" t="s">
        <v>2896</v>
      </c>
      <c r="W336" t="s">
        <v>581</v>
      </c>
      <c r="X336" t="str">
        <f>"319-358-9212"</f>
        <v>319-358-9212</v>
      </c>
      <c r="Y336" t="s">
        <v>1559</v>
      </c>
      <c r="Z336" t="s">
        <v>44</v>
      </c>
    </row>
    <row r="337" spans="1:26" x14ac:dyDescent="0.25">
      <c r="A337" t="str">
        <f>"16-24"</f>
        <v>16-24</v>
      </c>
      <c r="C337" t="s">
        <v>2615</v>
      </c>
      <c r="D337" t="s">
        <v>1659</v>
      </c>
      <c r="E337" t="s">
        <v>84</v>
      </c>
      <c r="F337" t="s">
        <v>77</v>
      </c>
      <c r="G337" t="s">
        <v>24</v>
      </c>
      <c r="H337" t="s">
        <v>25</v>
      </c>
      <c r="I337" t="str">
        <f>"319-415-7610"</f>
        <v>319-415-7610</v>
      </c>
      <c r="J337" s="11">
        <v>1</v>
      </c>
      <c r="K337" s="11">
        <v>40</v>
      </c>
      <c r="L337" s="11">
        <v>36</v>
      </c>
      <c r="M337" s="11" t="s">
        <v>3050</v>
      </c>
      <c r="N337" s="14">
        <v>43621</v>
      </c>
      <c r="P337" t="s">
        <v>1660</v>
      </c>
      <c r="Q337" t="s">
        <v>1173</v>
      </c>
      <c r="R337" t="s">
        <v>1174</v>
      </c>
      <c r="S337" t="s">
        <v>947</v>
      </c>
      <c r="T337" t="s">
        <v>1175</v>
      </c>
      <c r="U337" t="s">
        <v>454</v>
      </c>
      <c r="V337" s="6" t="s">
        <v>2974</v>
      </c>
      <c r="W337" t="s">
        <v>1176</v>
      </c>
      <c r="X337" t="str">
        <f>"773-507-6856"</f>
        <v>773-507-6856</v>
      </c>
      <c r="Y337" t="s">
        <v>21</v>
      </c>
      <c r="Z337" t="s">
        <v>20</v>
      </c>
    </row>
    <row r="338" spans="1:26" x14ac:dyDescent="0.25">
      <c r="A338" t="s">
        <v>1675</v>
      </c>
      <c r="B338" t="s">
        <v>1675</v>
      </c>
      <c r="C338" t="s">
        <v>2621</v>
      </c>
      <c r="D338" t="s">
        <v>1676</v>
      </c>
      <c r="E338" t="s">
        <v>84</v>
      </c>
      <c r="F338" t="s">
        <v>77</v>
      </c>
      <c r="G338" t="s">
        <v>153</v>
      </c>
      <c r="H338" t="s">
        <v>154</v>
      </c>
      <c r="I338" t="str">
        <f>"319-358-9212"</f>
        <v>319-358-9212</v>
      </c>
      <c r="J338" s="11">
        <v>0</v>
      </c>
      <c r="K338" s="11">
        <v>3</v>
      </c>
      <c r="L338" s="11">
        <v>3</v>
      </c>
      <c r="M338" s="11" t="s">
        <v>3050</v>
      </c>
      <c r="N338" s="14">
        <v>43621</v>
      </c>
      <c r="P338" t="s">
        <v>153</v>
      </c>
      <c r="Q338" t="s">
        <v>154</v>
      </c>
      <c r="R338" t="s">
        <v>152</v>
      </c>
      <c r="T338" t="s">
        <v>84</v>
      </c>
      <c r="U338" t="s">
        <v>18</v>
      </c>
      <c r="V338" s="6" t="s">
        <v>2896</v>
      </c>
      <c r="W338" t="s">
        <v>581</v>
      </c>
      <c r="X338" t="str">
        <f>"319-358-9212"</f>
        <v>319-358-9212</v>
      </c>
      <c r="Y338" t="s">
        <v>151</v>
      </c>
      <c r="Z338" t="s">
        <v>44</v>
      </c>
    </row>
    <row r="339" spans="1:26" x14ac:dyDescent="0.25">
      <c r="A339" t="str">
        <f>"17-26"</f>
        <v>17-26</v>
      </c>
      <c r="C339" t="s">
        <v>2633</v>
      </c>
      <c r="D339" t="s">
        <v>1716</v>
      </c>
      <c r="E339" t="s">
        <v>84</v>
      </c>
      <c r="F339" t="s">
        <v>77</v>
      </c>
      <c r="G339" t="s">
        <v>870</v>
      </c>
      <c r="H339" t="s">
        <v>871</v>
      </c>
      <c r="I339" t="str">
        <f>"763-354-5518"</f>
        <v>763-354-5518</v>
      </c>
      <c r="J339" s="11">
        <v>31</v>
      </c>
      <c r="K339" s="11">
        <v>248</v>
      </c>
      <c r="L339" s="11">
        <v>248</v>
      </c>
      <c r="M339" s="11" t="s">
        <v>3149</v>
      </c>
      <c r="N339" s="14">
        <v>44012</v>
      </c>
      <c r="P339" t="s">
        <v>1717</v>
      </c>
      <c r="Q339" t="s">
        <v>1718</v>
      </c>
      <c r="R339" t="s">
        <v>874</v>
      </c>
      <c r="S339" t="s">
        <v>875</v>
      </c>
      <c r="T339" t="s">
        <v>379</v>
      </c>
      <c r="U339" t="s">
        <v>31</v>
      </c>
      <c r="V339" s="6" t="s">
        <v>2956</v>
      </c>
      <c r="W339" t="s">
        <v>1113</v>
      </c>
      <c r="X339" t="str">
        <f>"763-354-5518"</f>
        <v>763-354-5518</v>
      </c>
      <c r="Y339" t="s">
        <v>151</v>
      </c>
      <c r="Z339" t="s">
        <v>44</v>
      </c>
    </row>
    <row r="340" spans="1:26" x14ac:dyDescent="0.25">
      <c r="A340" t="s">
        <v>1724</v>
      </c>
      <c r="B340" t="s">
        <v>1724</v>
      </c>
      <c r="C340" t="s">
        <v>2635</v>
      </c>
      <c r="D340" t="s">
        <v>1725</v>
      </c>
      <c r="E340" t="s">
        <v>84</v>
      </c>
      <c r="F340" t="s">
        <v>77</v>
      </c>
      <c r="G340" t="s">
        <v>1726</v>
      </c>
      <c r="H340" t="s">
        <v>1727</v>
      </c>
      <c r="I340" t="str">
        <f>"319-338-5416"</f>
        <v>319-338-5416</v>
      </c>
      <c r="J340" s="11">
        <v>0</v>
      </c>
      <c r="K340" s="11">
        <v>24</v>
      </c>
      <c r="L340" s="11">
        <v>24</v>
      </c>
      <c r="M340" s="11" t="s">
        <v>3049</v>
      </c>
      <c r="N340" s="14">
        <v>44040</v>
      </c>
      <c r="P340" t="s">
        <v>1726</v>
      </c>
      <c r="Q340" t="s">
        <v>1727</v>
      </c>
      <c r="R340" t="s">
        <v>1728</v>
      </c>
      <c r="T340" t="s">
        <v>84</v>
      </c>
      <c r="U340" t="s">
        <v>18</v>
      </c>
      <c r="V340" s="6" t="s">
        <v>3017</v>
      </c>
      <c r="W340" t="s">
        <v>1729</v>
      </c>
      <c r="X340" t="str">
        <f>"319-338-5416"</f>
        <v>319-338-5416</v>
      </c>
      <c r="Y340" t="s">
        <v>21</v>
      </c>
      <c r="Z340" t="s">
        <v>20</v>
      </c>
    </row>
    <row r="341" spans="1:26" x14ac:dyDescent="0.25">
      <c r="A341" t="str">
        <f>"98-28"</f>
        <v>98-28</v>
      </c>
      <c r="B341" t="s">
        <v>2189</v>
      </c>
      <c r="C341" t="s">
        <v>2749</v>
      </c>
      <c r="D341" t="s">
        <v>2190</v>
      </c>
      <c r="E341" t="s">
        <v>84</v>
      </c>
      <c r="F341" t="s">
        <v>77</v>
      </c>
      <c r="G341" t="s">
        <v>78</v>
      </c>
      <c r="H341" t="s">
        <v>79</v>
      </c>
      <c r="I341" t="str">
        <f>"515-225-4782"</f>
        <v>515-225-4782</v>
      </c>
      <c r="J341" s="11">
        <v>1</v>
      </c>
      <c r="K341" s="11">
        <v>30</v>
      </c>
      <c r="L341" s="11">
        <v>30</v>
      </c>
      <c r="M341" s="11" t="s">
        <v>3149</v>
      </c>
      <c r="N341" s="14">
        <v>43985</v>
      </c>
      <c r="P341" t="s">
        <v>2191</v>
      </c>
      <c r="Q341" t="s">
        <v>81</v>
      </c>
      <c r="R341" t="s">
        <v>82</v>
      </c>
      <c r="S341" t="s">
        <v>83</v>
      </c>
      <c r="T341" t="s">
        <v>84</v>
      </c>
      <c r="U341" t="s">
        <v>18</v>
      </c>
      <c r="V341" s="6" t="s">
        <v>2890</v>
      </c>
      <c r="W341" t="s">
        <v>85</v>
      </c>
      <c r="X341" t="str">
        <f>"319-338-7600"</f>
        <v>319-338-7600</v>
      </c>
      <c r="Y341" t="s">
        <v>21</v>
      </c>
      <c r="Z341" t="s">
        <v>62</v>
      </c>
    </row>
    <row r="342" spans="1:26" x14ac:dyDescent="0.25">
      <c r="A342" t="str">
        <f>"98-60"</f>
        <v>98-60</v>
      </c>
      <c r="B342" t="s">
        <v>2216</v>
      </c>
      <c r="C342" t="s">
        <v>2756</v>
      </c>
      <c r="D342" t="s">
        <v>2217</v>
      </c>
      <c r="E342" t="s">
        <v>84</v>
      </c>
      <c r="F342" t="s">
        <v>77</v>
      </c>
      <c r="G342" t="s">
        <v>95</v>
      </c>
      <c r="H342" t="s">
        <v>96</v>
      </c>
      <c r="I342" t="str">
        <f>"402-488-1666"</f>
        <v>402-488-1666</v>
      </c>
      <c r="J342" s="11">
        <v>1</v>
      </c>
      <c r="K342" s="11">
        <v>37</v>
      </c>
      <c r="L342" s="11">
        <v>36</v>
      </c>
      <c r="M342" s="11" t="s">
        <v>3149</v>
      </c>
      <c r="N342" s="14">
        <v>44013</v>
      </c>
      <c r="P342" t="s">
        <v>2218</v>
      </c>
      <c r="Q342" t="s">
        <v>98</v>
      </c>
      <c r="R342" t="s">
        <v>99</v>
      </c>
      <c r="S342" t="s">
        <v>100</v>
      </c>
      <c r="T342" t="s">
        <v>101</v>
      </c>
      <c r="U342" t="s">
        <v>42</v>
      </c>
      <c r="V342" s="6" t="s">
        <v>2891</v>
      </c>
      <c r="W342" t="s">
        <v>102</v>
      </c>
      <c r="X342" t="str">
        <f>"402-488-1666"</f>
        <v>402-488-1666</v>
      </c>
      <c r="Y342" t="s">
        <v>21</v>
      </c>
      <c r="Z342" t="s">
        <v>103</v>
      </c>
    </row>
    <row r="343" spans="1:26" x14ac:dyDescent="0.25">
      <c r="A343" t="s">
        <v>3168</v>
      </c>
      <c r="C343" t="s">
        <v>3169</v>
      </c>
      <c r="D343" t="s">
        <v>3188</v>
      </c>
      <c r="E343" t="s">
        <v>84</v>
      </c>
      <c r="F343" t="s">
        <v>77</v>
      </c>
      <c r="G343" t="s">
        <v>153</v>
      </c>
      <c r="H343" t="s">
        <v>154</v>
      </c>
      <c r="I343" t="str">
        <f>"319-358-9212"</f>
        <v>319-358-9212</v>
      </c>
      <c r="J343" s="11">
        <v>1</v>
      </c>
      <c r="K343" s="11">
        <v>33</v>
      </c>
      <c r="L343" s="11">
        <v>29</v>
      </c>
      <c r="M343" s="11" t="s">
        <v>3149</v>
      </c>
      <c r="N343" s="15" t="s">
        <v>3158</v>
      </c>
      <c r="P343" t="s">
        <v>3170</v>
      </c>
      <c r="Q343" t="s">
        <v>154</v>
      </c>
      <c r="R343" t="s">
        <v>152</v>
      </c>
      <c r="T343" t="s">
        <v>84</v>
      </c>
      <c r="U343" t="s">
        <v>18</v>
      </c>
      <c r="V343" s="6" t="s">
        <v>2896</v>
      </c>
      <c r="W343" t="s">
        <v>581</v>
      </c>
      <c r="X343" t="str">
        <f>"319-358-9212"</f>
        <v>319-358-9212</v>
      </c>
      <c r="Y343" t="s">
        <v>21</v>
      </c>
      <c r="Z343" t="s">
        <v>44</v>
      </c>
    </row>
    <row r="344" spans="1:26" x14ac:dyDescent="0.25">
      <c r="A344" t="s">
        <v>3171</v>
      </c>
      <c r="C344" t="s">
        <v>3172</v>
      </c>
      <c r="D344" t="s">
        <v>3189</v>
      </c>
      <c r="E344" t="s">
        <v>84</v>
      </c>
      <c r="F344" t="s">
        <v>77</v>
      </c>
      <c r="G344" t="s">
        <v>1502</v>
      </c>
      <c r="H344" t="s">
        <v>1503</v>
      </c>
      <c r="I344" t="str">
        <f>"320-202-3100"</f>
        <v>320-202-3100</v>
      </c>
      <c r="J344" s="11">
        <v>1</v>
      </c>
      <c r="K344" s="11">
        <v>36</v>
      </c>
      <c r="L344" s="11">
        <v>32</v>
      </c>
      <c r="M344" s="11" t="s">
        <v>3050</v>
      </c>
      <c r="N344" s="15" t="s">
        <v>3158</v>
      </c>
      <c r="P344" t="s">
        <v>3173</v>
      </c>
      <c r="Q344" t="s">
        <v>1505</v>
      </c>
      <c r="R344" t="s">
        <v>1506</v>
      </c>
      <c r="S344" t="s">
        <v>1507</v>
      </c>
      <c r="T344" t="s">
        <v>1508</v>
      </c>
      <c r="U344" t="s">
        <v>31</v>
      </c>
      <c r="V344" s="6" t="s">
        <v>2993</v>
      </c>
      <c r="W344" t="s">
        <v>1509</v>
      </c>
      <c r="X344" t="str">
        <f>"320-202-3100"</f>
        <v>320-202-3100</v>
      </c>
      <c r="Y344" t="s">
        <v>21</v>
      </c>
      <c r="Z344" t="s">
        <v>44</v>
      </c>
    </row>
    <row r="345" spans="1:26" x14ac:dyDescent="0.25">
      <c r="A345" t="str">
        <f>"10-10-255"</f>
        <v>10-10-255</v>
      </c>
      <c r="C345" t="s">
        <v>2511</v>
      </c>
      <c r="D345" t="s">
        <v>1185</v>
      </c>
      <c r="E345" t="s">
        <v>3089</v>
      </c>
      <c r="F345" t="s">
        <v>1186</v>
      </c>
      <c r="G345" t="s">
        <v>142</v>
      </c>
      <c r="H345" t="s">
        <v>143</v>
      </c>
      <c r="I345" t="str">
        <f>"712-580-5360"</f>
        <v>712-580-5360</v>
      </c>
      <c r="J345" s="11">
        <v>6</v>
      </c>
      <c r="K345" s="11">
        <v>24</v>
      </c>
      <c r="L345" s="11">
        <v>24</v>
      </c>
      <c r="M345" s="11" t="s">
        <v>3050</v>
      </c>
      <c r="N345" s="14">
        <v>43627</v>
      </c>
      <c r="P345" t="s">
        <v>1187</v>
      </c>
      <c r="Q345" t="s">
        <v>1188</v>
      </c>
      <c r="R345" t="s">
        <v>1189</v>
      </c>
      <c r="T345" t="s">
        <v>17</v>
      </c>
      <c r="U345" t="s">
        <v>18</v>
      </c>
      <c r="V345" s="6" t="s">
        <v>2975</v>
      </c>
      <c r="W345" t="s">
        <v>1190</v>
      </c>
      <c r="X345" t="str">
        <f>"515-223-1113"</f>
        <v>515-223-1113</v>
      </c>
      <c r="Y345" t="s">
        <v>33</v>
      </c>
      <c r="Z345" t="s">
        <v>116</v>
      </c>
    </row>
    <row r="346" spans="1:26" x14ac:dyDescent="0.25">
      <c r="A346" t="str">
        <f>"10-10-259"</f>
        <v>10-10-259</v>
      </c>
      <c r="C346" t="s">
        <v>2810</v>
      </c>
      <c r="D346" t="s">
        <v>1200</v>
      </c>
      <c r="E346" t="s">
        <v>3089</v>
      </c>
      <c r="F346" t="s">
        <v>1186</v>
      </c>
      <c r="G346" t="s">
        <v>142</v>
      </c>
      <c r="H346" t="s">
        <v>143</v>
      </c>
      <c r="I346" t="str">
        <f>"712-580-5360"</f>
        <v>712-580-5360</v>
      </c>
      <c r="J346" s="11">
        <v>2</v>
      </c>
      <c r="K346" s="11">
        <v>16</v>
      </c>
      <c r="L346" s="11">
        <v>16</v>
      </c>
      <c r="M346" s="11" t="s">
        <v>3050</v>
      </c>
      <c r="N346" s="14">
        <v>43627</v>
      </c>
      <c r="P346" t="s">
        <v>1187</v>
      </c>
      <c r="Q346" t="s">
        <v>1188</v>
      </c>
      <c r="R346" t="s">
        <v>1189</v>
      </c>
      <c r="T346" t="s">
        <v>17</v>
      </c>
      <c r="U346" t="s">
        <v>18</v>
      </c>
      <c r="V346" s="6" t="s">
        <v>2975</v>
      </c>
      <c r="W346" t="s">
        <v>1190</v>
      </c>
      <c r="X346" t="str">
        <f>"515-223-1113"</f>
        <v>515-223-1113</v>
      </c>
      <c r="Y346" t="s">
        <v>33</v>
      </c>
      <c r="Z346" t="s">
        <v>116</v>
      </c>
    </row>
    <row r="347" spans="1:26" x14ac:dyDescent="0.25">
      <c r="A347" t="str">
        <f>"99-04"</f>
        <v>99-04</v>
      </c>
      <c r="B347" t="s">
        <v>2252</v>
      </c>
      <c r="C347" t="s">
        <v>2766</v>
      </c>
      <c r="D347" t="s">
        <v>2253</v>
      </c>
      <c r="E347" t="s">
        <v>3089</v>
      </c>
      <c r="F347" t="s">
        <v>1186</v>
      </c>
      <c r="G347" t="s">
        <v>295</v>
      </c>
      <c r="H347" t="s">
        <v>296</v>
      </c>
      <c r="I347" t="str">
        <f>"262-790-4560"</f>
        <v>262-790-4560</v>
      </c>
      <c r="J347" s="11">
        <v>2</v>
      </c>
      <c r="K347" s="11">
        <v>32</v>
      </c>
      <c r="L347" s="11">
        <v>32</v>
      </c>
      <c r="M347" s="11" t="s">
        <v>3149</v>
      </c>
      <c r="N347" s="14">
        <v>44138</v>
      </c>
      <c r="P347" t="s">
        <v>2254</v>
      </c>
      <c r="Q347" t="s">
        <v>296</v>
      </c>
      <c r="R347" t="s">
        <v>298</v>
      </c>
      <c r="T347" t="s">
        <v>299</v>
      </c>
      <c r="U347" t="s">
        <v>300</v>
      </c>
      <c r="V347" s="6" t="s">
        <v>2909</v>
      </c>
      <c r="W347" t="s">
        <v>301</v>
      </c>
      <c r="X347" t="str">
        <f>"262-790-4560"</f>
        <v>262-790-4560</v>
      </c>
      <c r="Y347" t="s">
        <v>21</v>
      </c>
      <c r="Z347" t="s">
        <v>20</v>
      </c>
    </row>
    <row r="348" spans="1:26" x14ac:dyDescent="0.25">
      <c r="A348" t="str">
        <f>"12-12-23"</f>
        <v>12-12-23</v>
      </c>
      <c r="C348" t="s">
        <v>2548</v>
      </c>
      <c r="D348" t="s">
        <v>1360</v>
      </c>
      <c r="E348" t="s">
        <v>590</v>
      </c>
      <c r="F348" t="s">
        <v>1361</v>
      </c>
      <c r="G348" t="s">
        <v>1298</v>
      </c>
      <c r="H348" t="s">
        <v>1299</v>
      </c>
      <c r="I348" t="str">
        <f>"216-520-1250"</f>
        <v>216-520-1250</v>
      </c>
      <c r="J348" s="11">
        <v>12</v>
      </c>
      <c r="K348" s="11">
        <v>48</v>
      </c>
      <c r="L348" s="11">
        <v>48</v>
      </c>
      <c r="M348" s="11" t="s">
        <v>3050</v>
      </c>
      <c r="N348" s="14">
        <v>43606</v>
      </c>
      <c r="P348" t="s">
        <v>1362</v>
      </c>
      <c r="Q348" t="s">
        <v>1301</v>
      </c>
      <c r="R348" t="s">
        <v>1302</v>
      </c>
      <c r="S348" t="s">
        <v>1303</v>
      </c>
      <c r="T348" t="s">
        <v>1304</v>
      </c>
      <c r="U348" t="s">
        <v>1160</v>
      </c>
      <c r="V348" s="6" t="s">
        <v>2983</v>
      </c>
      <c r="W348" t="s">
        <v>1305</v>
      </c>
      <c r="X348" t="str">
        <f>"216-520-1250"</f>
        <v>216-520-1250</v>
      </c>
      <c r="Y348" t="s">
        <v>151</v>
      </c>
      <c r="Z348" t="s">
        <v>20</v>
      </c>
    </row>
    <row r="349" spans="1:26" x14ac:dyDescent="0.25">
      <c r="A349" t="str">
        <f>"92-24"</f>
        <v>92-24</v>
      </c>
      <c r="C349" t="s">
        <v>2671</v>
      </c>
      <c r="D349" t="s">
        <v>1903</v>
      </c>
      <c r="E349" t="s">
        <v>590</v>
      </c>
      <c r="F349" t="s">
        <v>1361</v>
      </c>
      <c r="G349" t="s">
        <v>107</v>
      </c>
      <c r="H349" t="s">
        <v>145</v>
      </c>
      <c r="I349" t="str">
        <f>"712-580-5360"</f>
        <v>712-580-5360</v>
      </c>
      <c r="J349" s="11">
        <v>3</v>
      </c>
      <c r="K349" s="11">
        <v>11</v>
      </c>
      <c r="L349" s="11">
        <v>11</v>
      </c>
      <c r="M349" s="11" t="s">
        <v>3051</v>
      </c>
      <c r="N349" s="14">
        <v>43655</v>
      </c>
      <c r="P349" t="s">
        <v>1904</v>
      </c>
      <c r="Q349" t="s">
        <v>108</v>
      </c>
      <c r="R349" t="s">
        <v>187</v>
      </c>
      <c r="T349" t="s">
        <v>60</v>
      </c>
      <c r="U349" t="s">
        <v>18</v>
      </c>
      <c r="V349" s="6" t="s">
        <v>2899</v>
      </c>
      <c r="W349" t="s">
        <v>1905</v>
      </c>
      <c r="X349" t="str">
        <f>"515-313-7306"</f>
        <v>515-313-7306</v>
      </c>
      <c r="Z349" t="s">
        <v>116</v>
      </c>
    </row>
    <row r="350" spans="1:26" x14ac:dyDescent="0.25">
      <c r="A350" t="str">
        <f>"02-30"</f>
        <v>02-30</v>
      </c>
      <c r="C350" t="s">
        <v>2354</v>
      </c>
      <c r="D350" t="s">
        <v>344</v>
      </c>
      <c r="E350" t="s">
        <v>1226</v>
      </c>
      <c r="F350" t="s">
        <v>202</v>
      </c>
      <c r="G350" t="s">
        <v>324</v>
      </c>
      <c r="H350" t="s">
        <v>345</v>
      </c>
      <c r="I350" t="str">
        <f>"402-763-9465"</f>
        <v>402-763-9465</v>
      </c>
      <c r="J350" s="11">
        <v>20</v>
      </c>
      <c r="K350" s="11">
        <v>177</v>
      </c>
      <c r="L350" s="11">
        <v>177</v>
      </c>
      <c r="M350" s="11" t="s">
        <v>3051</v>
      </c>
      <c r="N350" s="14">
        <v>43790</v>
      </c>
      <c r="P350" t="s">
        <v>346</v>
      </c>
      <c r="Q350" t="s">
        <v>347</v>
      </c>
      <c r="R350" t="s">
        <v>348</v>
      </c>
      <c r="T350" t="s">
        <v>216</v>
      </c>
      <c r="U350" t="s">
        <v>42</v>
      </c>
      <c r="V350" s="6" t="s">
        <v>2914</v>
      </c>
      <c r="W350" t="s">
        <v>349</v>
      </c>
      <c r="X350" t="str">
        <f>"402-952-4599"</f>
        <v>402-952-4599</v>
      </c>
      <c r="Y350" t="s">
        <v>21</v>
      </c>
      <c r="Z350" t="s">
        <v>103</v>
      </c>
    </row>
    <row r="351" spans="1:26" x14ac:dyDescent="0.25">
      <c r="A351" t="str">
        <f>"10-10-7"</f>
        <v>10-10-7</v>
      </c>
      <c r="C351" t="s">
        <v>2524</v>
      </c>
      <c r="D351" t="s">
        <v>1236</v>
      </c>
      <c r="E351" t="s">
        <v>1226</v>
      </c>
      <c r="F351" t="s">
        <v>202</v>
      </c>
      <c r="G351" t="s">
        <v>524</v>
      </c>
      <c r="H351" t="s">
        <v>525</v>
      </c>
      <c r="I351" t="str">
        <f>"515-280-2071"</f>
        <v>515-280-2071</v>
      </c>
      <c r="J351" s="11">
        <v>9</v>
      </c>
      <c r="K351" s="11">
        <v>31</v>
      </c>
      <c r="L351" s="11">
        <v>31</v>
      </c>
      <c r="M351" s="11" t="s">
        <v>3050</v>
      </c>
      <c r="N351" s="14">
        <v>43608</v>
      </c>
      <c r="P351" t="s">
        <v>1237</v>
      </c>
      <c r="Q351" t="s">
        <v>527</v>
      </c>
      <c r="R351" t="s">
        <v>528</v>
      </c>
      <c r="T351" t="s">
        <v>17</v>
      </c>
      <c r="U351" t="s">
        <v>18</v>
      </c>
      <c r="V351" s="6" t="s">
        <v>2928</v>
      </c>
      <c r="W351" t="s">
        <v>529</v>
      </c>
      <c r="X351" t="str">
        <f>"515-280-2053"</f>
        <v>515-280-2053</v>
      </c>
      <c r="Y351" t="s">
        <v>21</v>
      </c>
      <c r="Z351" t="s">
        <v>116</v>
      </c>
    </row>
    <row r="352" spans="1:26" x14ac:dyDescent="0.25">
      <c r="A352" t="str">
        <f>"11-11-22"</f>
        <v>11-11-22</v>
      </c>
      <c r="C352" t="s">
        <v>2534</v>
      </c>
      <c r="D352" t="s">
        <v>1287</v>
      </c>
      <c r="E352" t="s">
        <v>1226</v>
      </c>
      <c r="F352" t="s">
        <v>202</v>
      </c>
      <c r="G352" t="s">
        <v>1288</v>
      </c>
      <c r="H352" t="s">
        <v>1289</v>
      </c>
      <c r="I352" t="str">
        <f>"920-579-1029"</f>
        <v>920-579-1029</v>
      </c>
      <c r="J352" s="11">
        <v>1</v>
      </c>
      <c r="K352" s="11">
        <v>62</v>
      </c>
      <c r="L352" s="11">
        <v>55</v>
      </c>
      <c r="M352" s="11" t="s">
        <v>3050</v>
      </c>
      <c r="N352" s="14">
        <v>44147</v>
      </c>
      <c r="P352" t="s">
        <v>1290</v>
      </c>
      <c r="Q352" t="s">
        <v>1291</v>
      </c>
      <c r="R352" t="s">
        <v>1292</v>
      </c>
      <c r="S352" t="s">
        <v>1158</v>
      </c>
      <c r="T352" t="s">
        <v>1293</v>
      </c>
      <c r="U352" t="s">
        <v>300</v>
      </c>
      <c r="V352" s="6" t="s">
        <v>2982</v>
      </c>
      <c r="W352" t="s">
        <v>1294</v>
      </c>
      <c r="X352" t="str">
        <f>"608-824-2292"</f>
        <v>608-824-2292</v>
      </c>
      <c r="Y352" t="s">
        <v>21</v>
      </c>
      <c r="Z352" t="s">
        <v>62</v>
      </c>
    </row>
    <row r="353" spans="1:26" x14ac:dyDescent="0.25">
      <c r="A353" t="str">
        <f>"98-74"</f>
        <v>98-74</v>
      </c>
      <c r="B353" t="s">
        <v>2232</v>
      </c>
      <c r="C353" t="s">
        <v>2762</v>
      </c>
      <c r="D353" t="s">
        <v>2233</v>
      </c>
      <c r="E353" t="s">
        <v>3090</v>
      </c>
      <c r="F353" t="s">
        <v>1142</v>
      </c>
      <c r="G353" t="s">
        <v>95</v>
      </c>
      <c r="H353" t="s">
        <v>96</v>
      </c>
      <c r="I353" t="str">
        <f>"402-488-1666"</f>
        <v>402-488-1666</v>
      </c>
      <c r="J353" s="11">
        <v>1</v>
      </c>
      <c r="K353" s="11">
        <v>24</v>
      </c>
      <c r="L353" s="11">
        <v>12</v>
      </c>
      <c r="M353" s="11" t="s">
        <v>3051</v>
      </c>
      <c r="N353" s="14">
        <v>43587</v>
      </c>
      <c r="P353" t="s">
        <v>2234</v>
      </c>
      <c r="Q353" t="s">
        <v>98</v>
      </c>
      <c r="R353" t="s">
        <v>99</v>
      </c>
      <c r="S353" t="s">
        <v>100</v>
      </c>
      <c r="T353" t="s">
        <v>101</v>
      </c>
      <c r="U353" t="s">
        <v>42</v>
      </c>
      <c r="V353" s="6" t="s">
        <v>3047</v>
      </c>
      <c r="W353" t="s">
        <v>102</v>
      </c>
      <c r="X353" t="str">
        <f>"402-488-1666"</f>
        <v>402-488-1666</v>
      </c>
      <c r="Y353" t="s">
        <v>21</v>
      </c>
      <c r="Z353" t="s">
        <v>103</v>
      </c>
    </row>
    <row r="354" spans="1:26" x14ac:dyDescent="0.25">
      <c r="A354" t="str">
        <f>"00-24"</f>
        <v>00-24</v>
      </c>
      <c r="B354" t="s">
        <v>90</v>
      </c>
      <c r="C354" t="s">
        <v>2326</v>
      </c>
      <c r="D354" t="s">
        <v>91</v>
      </c>
      <c r="E354" t="s">
        <v>198</v>
      </c>
      <c r="F354" t="s">
        <v>92</v>
      </c>
      <c r="G354" t="s">
        <v>78</v>
      </c>
      <c r="H354" t="s">
        <v>79</v>
      </c>
      <c r="I354" t="str">
        <f>"515-225-4782"</f>
        <v>515-225-4782</v>
      </c>
      <c r="J354" s="11">
        <v>1</v>
      </c>
      <c r="K354" s="11">
        <v>24</v>
      </c>
      <c r="L354" s="11">
        <v>24</v>
      </c>
      <c r="M354" s="11" t="s">
        <v>3049</v>
      </c>
      <c r="N354" s="14">
        <v>44103</v>
      </c>
      <c r="P354" t="s">
        <v>93</v>
      </c>
      <c r="Q354" t="s">
        <v>81</v>
      </c>
      <c r="R354" t="s">
        <v>82</v>
      </c>
      <c r="S354" t="s">
        <v>83</v>
      </c>
      <c r="T354" t="s">
        <v>84</v>
      </c>
      <c r="U354" t="s">
        <v>18</v>
      </c>
      <c r="V354" s="6" t="s">
        <v>2890</v>
      </c>
      <c r="W354" t="s">
        <v>85</v>
      </c>
      <c r="X354" t="str">
        <f>"319-338-7600"</f>
        <v>319-338-7600</v>
      </c>
      <c r="Y354" t="s">
        <v>21</v>
      </c>
      <c r="Z354" t="s">
        <v>62</v>
      </c>
    </row>
    <row r="355" spans="1:26" x14ac:dyDescent="0.25">
      <c r="A355" t="str">
        <f>"01-23"</f>
        <v>01-23</v>
      </c>
      <c r="C355" t="s">
        <v>2336</v>
      </c>
      <c r="D355" t="s">
        <v>192</v>
      </c>
      <c r="E355" t="s">
        <v>198</v>
      </c>
      <c r="F355" t="s">
        <v>92</v>
      </c>
      <c r="G355" t="s">
        <v>193</v>
      </c>
      <c r="H355" t="s">
        <v>194</v>
      </c>
      <c r="I355" t="str">
        <f>"319-524-4386"</f>
        <v>319-524-4386</v>
      </c>
      <c r="J355" s="11">
        <v>2</v>
      </c>
      <c r="K355" s="11">
        <v>16</v>
      </c>
      <c r="L355" s="11">
        <v>16</v>
      </c>
      <c r="M355" s="11" t="s">
        <v>3051</v>
      </c>
      <c r="N355" s="14">
        <v>44091</v>
      </c>
      <c r="P355" t="s">
        <v>195</v>
      </c>
      <c r="Q355" t="s">
        <v>196</v>
      </c>
      <c r="R355" t="s">
        <v>197</v>
      </c>
      <c r="T355" t="s">
        <v>198</v>
      </c>
      <c r="U355" t="s">
        <v>18</v>
      </c>
      <c r="V355" s="6" t="s">
        <v>2900</v>
      </c>
      <c r="W355" t="s">
        <v>199</v>
      </c>
      <c r="X355" t="str">
        <f>"319-524-1052"</f>
        <v>319-524-1052</v>
      </c>
      <c r="Y355" t="s">
        <v>21</v>
      </c>
      <c r="Z355" t="s">
        <v>44</v>
      </c>
    </row>
    <row r="356" spans="1:26" x14ac:dyDescent="0.25">
      <c r="A356" t="str">
        <f>"04-28"</f>
        <v>04-28</v>
      </c>
      <c r="B356" t="s">
        <v>493</v>
      </c>
      <c r="C356" t="s">
        <v>2379</v>
      </c>
      <c r="D356" t="s">
        <v>494</v>
      </c>
      <c r="E356" t="s">
        <v>198</v>
      </c>
      <c r="F356" t="s">
        <v>92</v>
      </c>
      <c r="G356" t="s">
        <v>324</v>
      </c>
      <c r="H356" t="s">
        <v>345</v>
      </c>
      <c r="I356" t="str">
        <f>"402-763-9465"</f>
        <v>402-763-9465</v>
      </c>
      <c r="J356" s="11">
        <v>1</v>
      </c>
      <c r="K356" s="11">
        <v>53</v>
      </c>
      <c r="L356" s="11">
        <v>48</v>
      </c>
      <c r="M356" s="11" t="s">
        <v>3149</v>
      </c>
      <c r="N356" s="14">
        <v>44145</v>
      </c>
      <c r="P356" t="s">
        <v>495</v>
      </c>
      <c r="Q356" t="s">
        <v>496</v>
      </c>
      <c r="R356" t="s">
        <v>494</v>
      </c>
      <c r="T356" t="s">
        <v>198</v>
      </c>
      <c r="U356" t="s">
        <v>18</v>
      </c>
      <c r="V356" s="6" t="s">
        <v>2926</v>
      </c>
      <c r="W356" t="s">
        <v>497</v>
      </c>
      <c r="X356" t="str">
        <f>"319-526-8975"</f>
        <v>319-526-8975</v>
      </c>
      <c r="Y356" t="s">
        <v>33</v>
      </c>
      <c r="Z356" t="s">
        <v>103</v>
      </c>
    </row>
    <row r="357" spans="1:26" x14ac:dyDescent="0.25">
      <c r="A357" t="str">
        <f>"09-0933"</f>
        <v>09-0933</v>
      </c>
      <c r="C357" t="s">
        <v>2488</v>
      </c>
      <c r="D357" t="s">
        <v>1060</v>
      </c>
      <c r="E357" t="s">
        <v>198</v>
      </c>
      <c r="F357" t="s">
        <v>92</v>
      </c>
      <c r="G357" t="s">
        <v>12</v>
      </c>
      <c r="H357" t="s">
        <v>13</v>
      </c>
      <c r="I357" t="str">
        <f>"608-348-7755"</f>
        <v>608-348-7755</v>
      </c>
      <c r="J357" s="11">
        <v>5</v>
      </c>
      <c r="K357" s="11">
        <v>72</v>
      </c>
      <c r="L357" s="11">
        <v>72</v>
      </c>
      <c r="M357" s="11" t="s">
        <v>3050</v>
      </c>
      <c r="N357" s="14">
        <v>43161</v>
      </c>
      <c r="P357" t="s">
        <v>1061</v>
      </c>
      <c r="Q357" t="s">
        <v>15</v>
      </c>
      <c r="R357" t="s">
        <v>16</v>
      </c>
      <c r="T357" t="s">
        <v>17</v>
      </c>
      <c r="U357" t="s">
        <v>18</v>
      </c>
      <c r="V357" s="6" t="s">
        <v>2931</v>
      </c>
      <c r="W357" t="s">
        <v>19</v>
      </c>
      <c r="X357" t="str">
        <f>"608-348-7755"</f>
        <v>608-348-7755</v>
      </c>
      <c r="Y357" t="s">
        <v>21</v>
      </c>
      <c r="Z357" t="s">
        <v>20</v>
      </c>
    </row>
    <row r="358" spans="1:26" x14ac:dyDescent="0.25">
      <c r="A358" t="str">
        <f>"15-15-20"</f>
        <v>15-15-20</v>
      </c>
      <c r="B358" t="s">
        <v>1595</v>
      </c>
      <c r="C358" t="s">
        <v>2602</v>
      </c>
      <c r="D358" t="s">
        <v>1596</v>
      </c>
      <c r="E358" t="s">
        <v>198</v>
      </c>
      <c r="F358" t="s">
        <v>92</v>
      </c>
      <c r="G358" t="s">
        <v>1153</v>
      </c>
      <c r="H358" t="s">
        <v>1154</v>
      </c>
      <c r="I358" t="str">
        <f>"513-964-1151"</f>
        <v>513-964-1151</v>
      </c>
      <c r="J358" s="11">
        <v>1</v>
      </c>
      <c r="K358" s="11">
        <v>45</v>
      </c>
      <c r="L358" s="11">
        <v>40</v>
      </c>
      <c r="M358" s="11" t="s">
        <v>3149</v>
      </c>
      <c r="N358" s="14">
        <v>44091</v>
      </c>
      <c r="P358" t="s">
        <v>1597</v>
      </c>
      <c r="Q358" t="s">
        <v>1156</v>
      </c>
      <c r="R358" t="s">
        <v>1157</v>
      </c>
      <c r="S358" t="s">
        <v>1158</v>
      </c>
      <c r="T358" t="s">
        <v>1159</v>
      </c>
      <c r="U358" t="s">
        <v>1160</v>
      </c>
      <c r="V358" s="6" t="s">
        <v>2973</v>
      </c>
      <c r="W358" t="s">
        <v>1161</v>
      </c>
      <c r="X358" t="str">
        <f>"513-964-1140"</f>
        <v>513-964-1140</v>
      </c>
      <c r="Y358" t="s">
        <v>21</v>
      </c>
      <c r="Z358" t="s">
        <v>103</v>
      </c>
    </row>
    <row r="359" spans="1:26" x14ac:dyDescent="0.25">
      <c r="A359" t="s">
        <v>925</v>
      </c>
      <c r="B359" t="s">
        <v>925</v>
      </c>
      <c r="C359" t="s">
        <v>2880</v>
      </c>
      <c r="D359" t="s">
        <v>926</v>
      </c>
      <c r="E359" t="s">
        <v>3091</v>
      </c>
      <c r="F359" t="s">
        <v>330</v>
      </c>
      <c r="G359" t="s">
        <v>78</v>
      </c>
      <c r="H359" t="s">
        <v>79</v>
      </c>
      <c r="I359" t="str">
        <f>"515-225-4782"</f>
        <v>515-225-4782</v>
      </c>
      <c r="J359" s="11">
        <v>0</v>
      </c>
      <c r="K359" s="11">
        <v>18</v>
      </c>
      <c r="L359" s="11">
        <v>18</v>
      </c>
      <c r="M359" s="11" t="s">
        <v>3049</v>
      </c>
      <c r="N359" s="14">
        <v>44075</v>
      </c>
      <c r="P359" t="s">
        <v>927</v>
      </c>
      <c r="Q359" t="s">
        <v>81</v>
      </c>
      <c r="R359" t="s">
        <v>82</v>
      </c>
      <c r="S359" t="s">
        <v>83</v>
      </c>
      <c r="T359" t="s">
        <v>84</v>
      </c>
      <c r="U359" t="s">
        <v>18</v>
      </c>
      <c r="V359" s="6" t="s">
        <v>2890</v>
      </c>
      <c r="W359" t="s">
        <v>85</v>
      </c>
      <c r="X359" t="str">
        <f>"319-338-7600"</f>
        <v>319-338-7600</v>
      </c>
      <c r="Y359" t="s">
        <v>21</v>
      </c>
      <c r="Z359" t="s">
        <v>62</v>
      </c>
    </row>
    <row r="360" spans="1:26" x14ac:dyDescent="0.25">
      <c r="A360" t="str">
        <f>"14-14-34"</f>
        <v>14-14-34</v>
      </c>
      <c r="C360" t="s">
        <v>2588</v>
      </c>
      <c r="D360" t="s">
        <v>1536</v>
      </c>
      <c r="E360" t="s">
        <v>3091</v>
      </c>
      <c r="F360" t="s">
        <v>330</v>
      </c>
      <c r="G360" t="s">
        <v>12</v>
      </c>
      <c r="H360" t="s">
        <v>13</v>
      </c>
      <c r="I360" t="str">
        <f>"608-348-7755"</f>
        <v>608-348-7755</v>
      </c>
      <c r="J360" s="11">
        <v>17</v>
      </c>
      <c r="K360" s="11">
        <v>50</v>
      </c>
      <c r="L360" s="11">
        <v>42</v>
      </c>
      <c r="M360" s="11" t="s">
        <v>3050</v>
      </c>
      <c r="N360" s="14">
        <v>43668</v>
      </c>
      <c r="P360" t="s">
        <v>1537</v>
      </c>
      <c r="Q360" t="s">
        <v>15</v>
      </c>
      <c r="R360" t="s">
        <v>16</v>
      </c>
      <c r="T360" t="s">
        <v>17</v>
      </c>
      <c r="U360" t="s">
        <v>18</v>
      </c>
      <c r="V360" s="6" t="s">
        <v>2931</v>
      </c>
      <c r="W360" t="s">
        <v>19</v>
      </c>
      <c r="X360" t="str">
        <f>"608-348-7755"</f>
        <v>608-348-7755</v>
      </c>
      <c r="Y360" t="s">
        <v>21</v>
      </c>
      <c r="Z360" t="s">
        <v>20</v>
      </c>
    </row>
    <row r="361" spans="1:26" x14ac:dyDescent="0.25">
      <c r="A361" t="str">
        <f>"97-18"</f>
        <v>97-18</v>
      </c>
      <c r="B361" t="s">
        <v>2122</v>
      </c>
      <c r="C361" t="s">
        <v>2729</v>
      </c>
      <c r="D361" t="s">
        <v>2123</v>
      </c>
      <c r="E361" t="s">
        <v>3091</v>
      </c>
      <c r="F361" t="s">
        <v>330</v>
      </c>
      <c r="G361" t="s">
        <v>295</v>
      </c>
      <c r="H361" t="s">
        <v>296</v>
      </c>
      <c r="I361" t="str">
        <f>"262-790-4560"</f>
        <v>262-790-4560</v>
      </c>
      <c r="J361" s="11">
        <v>1</v>
      </c>
      <c r="K361" s="11">
        <v>24</v>
      </c>
      <c r="L361" s="11">
        <v>24</v>
      </c>
      <c r="M361" s="11" t="s">
        <v>3051</v>
      </c>
      <c r="N361" s="14">
        <v>43518</v>
      </c>
      <c r="P361" t="s">
        <v>2124</v>
      </c>
      <c r="Q361" t="s">
        <v>296</v>
      </c>
      <c r="R361" t="s">
        <v>298</v>
      </c>
      <c r="T361" t="s">
        <v>299</v>
      </c>
      <c r="U361" t="s">
        <v>300</v>
      </c>
      <c r="V361" s="6" t="s">
        <v>2909</v>
      </c>
      <c r="W361" t="s">
        <v>301</v>
      </c>
      <c r="X361" t="str">
        <f>"262-790-4560"</f>
        <v>262-790-4560</v>
      </c>
      <c r="Y361" t="s">
        <v>21</v>
      </c>
      <c r="Z361" t="s">
        <v>20</v>
      </c>
    </row>
    <row r="362" spans="1:26" x14ac:dyDescent="0.25">
      <c r="A362" t="str">
        <f>"99-37"</f>
        <v>99-37</v>
      </c>
      <c r="B362" t="s">
        <v>2266</v>
      </c>
      <c r="C362" t="s">
        <v>2771</v>
      </c>
      <c r="D362" t="s">
        <v>926</v>
      </c>
      <c r="E362" t="s">
        <v>3091</v>
      </c>
      <c r="F362" t="s">
        <v>330</v>
      </c>
      <c r="G362" t="s">
        <v>78</v>
      </c>
      <c r="H362" t="s">
        <v>79</v>
      </c>
      <c r="I362" t="str">
        <f>"515-225-4782"</f>
        <v>515-225-4782</v>
      </c>
      <c r="J362" s="11">
        <v>1</v>
      </c>
      <c r="K362" s="11">
        <v>24</v>
      </c>
      <c r="L362" s="11">
        <v>24</v>
      </c>
      <c r="M362" s="11" t="s">
        <v>3049</v>
      </c>
      <c r="N362" s="14">
        <v>44075</v>
      </c>
      <c r="P362" t="s">
        <v>927</v>
      </c>
      <c r="Q362" t="s">
        <v>81</v>
      </c>
      <c r="R362" t="s">
        <v>82</v>
      </c>
      <c r="S362" t="s">
        <v>83</v>
      </c>
      <c r="T362" t="s">
        <v>84</v>
      </c>
      <c r="U362" t="s">
        <v>18</v>
      </c>
      <c r="V362" s="6" t="s">
        <v>2890</v>
      </c>
      <c r="W362" t="s">
        <v>85</v>
      </c>
      <c r="X362" t="str">
        <f>"319-338-7600"</f>
        <v>319-338-7600</v>
      </c>
      <c r="Y362" t="s">
        <v>21</v>
      </c>
      <c r="Z362" t="s">
        <v>62</v>
      </c>
    </row>
    <row r="363" spans="1:26" x14ac:dyDescent="0.25">
      <c r="A363" t="str">
        <f>"12-12-48"</f>
        <v>12-12-48</v>
      </c>
      <c r="B363" t="s">
        <v>1390</v>
      </c>
      <c r="C363" t="s">
        <v>2556</v>
      </c>
      <c r="D363" t="s">
        <v>1391</v>
      </c>
      <c r="E363" t="s">
        <v>3092</v>
      </c>
      <c r="F363" t="s">
        <v>210</v>
      </c>
      <c r="G363" t="s">
        <v>851</v>
      </c>
      <c r="H363" t="s">
        <v>852</v>
      </c>
      <c r="I363" t="str">
        <f>"515-490-9001"</f>
        <v>515-490-9001</v>
      </c>
      <c r="J363" s="11">
        <v>8</v>
      </c>
      <c r="K363" s="11">
        <v>32</v>
      </c>
      <c r="L363" s="11">
        <v>32</v>
      </c>
      <c r="M363" s="11" t="s">
        <v>3149</v>
      </c>
      <c r="N363" s="14">
        <v>44049</v>
      </c>
      <c r="P363" t="s">
        <v>1392</v>
      </c>
      <c r="Q363" t="s">
        <v>852</v>
      </c>
      <c r="R363" t="s">
        <v>998</v>
      </c>
      <c r="S363" t="s">
        <v>999</v>
      </c>
      <c r="T363" t="s">
        <v>17</v>
      </c>
      <c r="U363" t="s">
        <v>18</v>
      </c>
      <c r="V363" s="6" t="s">
        <v>2962</v>
      </c>
      <c r="W363" t="s">
        <v>1000</v>
      </c>
      <c r="X363" t="str">
        <f>"515-490-9001"</f>
        <v>515-490-9001</v>
      </c>
      <c r="Y363" t="s">
        <v>151</v>
      </c>
      <c r="Z363" t="s">
        <v>44</v>
      </c>
    </row>
    <row r="364" spans="1:26" x14ac:dyDescent="0.25">
      <c r="A364" t="str">
        <f>"92-25"</f>
        <v>92-25</v>
      </c>
      <c r="C364" t="s">
        <v>2672</v>
      </c>
      <c r="D364" t="s">
        <v>1906</v>
      </c>
      <c r="E364" t="s">
        <v>3093</v>
      </c>
      <c r="F364" t="s">
        <v>1825</v>
      </c>
      <c r="G364" t="s">
        <v>142</v>
      </c>
      <c r="H364" t="s">
        <v>143</v>
      </c>
      <c r="I364" t="str">
        <f>"712-580-5360"</f>
        <v>712-580-5360</v>
      </c>
      <c r="J364" s="11">
        <v>2</v>
      </c>
      <c r="K364" s="11">
        <v>16</v>
      </c>
      <c r="L364" s="11">
        <v>16</v>
      </c>
      <c r="M364" s="11" t="s">
        <v>3051</v>
      </c>
      <c r="N364" s="14">
        <v>43606</v>
      </c>
      <c r="P364" t="s">
        <v>1907</v>
      </c>
      <c r="Q364" t="s">
        <v>145</v>
      </c>
      <c r="R364" t="s">
        <v>146</v>
      </c>
      <c r="T364" t="s">
        <v>147</v>
      </c>
      <c r="U364" t="s">
        <v>18</v>
      </c>
      <c r="V364" s="6" t="s">
        <v>3032</v>
      </c>
      <c r="W364" t="s">
        <v>148</v>
      </c>
      <c r="X364" t="str">
        <f>"712-240-2188"</f>
        <v>712-240-2188</v>
      </c>
      <c r="Z364" t="s">
        <v>116</v>
      </c>
    </row>
    <row r="365" spans="1:26" x14ac:dyDescent="0.25">
      <c r="A365" t="str">
        <f>"90-63"</f>
        <v>90-63</v>
      </c>
      <c r="C365" t="s">
        <v>2653</v>
      </c>
      <c r="D365" t="s">
        <v>1811</v>
      </c>
      <c r="E365" t="s">
        <v>3094</v>
      </c>
      <c r="F365" t="s">
        <v>1462</v>
      </c>
      <c r="G365" t="s">
        <v>1763</v>
      </c>
      <c r="H365" t="s">
        <v>1764</v>
      </c>
      <c r="I365" t="str">
        <f>"515-295-2927"</f>
        <v>515-295-2927</v>
      </c>
      <c r="J365" s="11">
        <v>5</v>
      </c>
      <c r="K365" s="11">
        <v>24</v>
      </c>
      <c r="L365" s="11">
        <v>24</v>
      </c>
      <c r="M365" s="11" t="s">
        <v>3051</v>
      </c>
      <c r="N365" s="14">
        <v>43754</v>
      </c>
      <c r="P365" t="s">
        <v>1812</v>
      </c>
      <c r="Q365" t="s">
        <v>1813</v>
      </c>
      <c r="R365" t="s">
        <v>1814</v>
      </c>
      <c r="T365" t="s">
        <v>1361</v>
      </c>
      <c r="U365" t="s">
        <v>18</v>
      </c>
      <c r="V365" s="6" t="s">
        <v>3026</v>
      </c>
      <c r="W365" t="s">
        <v>1815</v>
      </c>
      <c r="X365" t="str">
        <f>"319-830-4591"</f>
        <v>319-830-4591</v>
      </c>
      <c r="Z365" t="s">
        <v>103</v>
      </c>
    </row>
    <row r="366" spans="1:26" x14ac:dyDescent="0.25">
      <c r="A366" t="str">
        <f>"95-28"</f>
        <v>95-28</v>
      </c>
      <c r="B366" t="s">
        <v>2053</v>
      </c>
      <c r="C366" t="s">
        <v>2708</v>
      </c>
      <c r="D366" t="s">
        <v>2054</v>
      </c>
      <c r="E366" t="s">
        <v>3095</v>
      </c>
      <c r="F366" t="s">
        <v>65</v>
      </c>
      <c r="G366" t="s">
        <v>55</v>
      </c>
      <c r="H366" t="s">
        <v>56</v>
      </c>
      <c r="I366" t="str">
        <f>"712-262-5965"</f>
        <v>712-262-5965</v>
      </c>
      <c r="J366" s="11">
        <v>1</v>
      </c>
      <c r="K366" s="11">
        <v>10</v>
      </c>
      <c r="L366" s="11">
        <v>10</v>
      </c>
      <c r="M366" s="11" t="s">
        <v>3051</v>
      </c>
      <c r="N366" s="14">
        <v>44000</v>
      </c>
      <c r="P366" t="s">
        <v>2055</v>
      </c>
      <c r="Q366" t="s">
        <v>1333</v>
      </c>
      <c r="R366" t="s">
        <v>59</v>
      </c>
      <c r="T366" t="s">
        <v>60</v>
      </c>
      <c r="U366" t="s">
        <v>18</v>
      </c>
      <c r="V366" s="6" t="s">
        <v>2888</v>
      </c>
      <c r="W366" t="s">
        <v>61</v>
      </c>
      <c r="X366" t="str">
        <f>"515-262-5965"</f>
        <v>515-262-5965</v>
      </c>
      <c r="Y366" t="s">
        <v>21</v>
      </c>
      <c r="Z366" t="s">
        <v>62</v>
      </c>
    </row>
    <row r="367" spans="1:26" x14ac:dyDescent="0.25">
      <c r="A367" t="str">
        <f>"06-25"</f>
        <v>06-25</v>
      </c>
      <c r="C367" t="s">
        <v>2845</v>
      </c>
      <c r="D367" t="s">
        <v>728</v>
      </c>
      <c r="E367" t="s">
        <v>3096</v>
      </c>
      <c r="F367" t="s">
        <v>729</v>
      </c>
      <c r="G367" t="s">
        <v>722</v>
      </c>
      <c r="H367" t="s">
        <v>723</v>
      </c>
      <c r="I367" t="str">
        <f>"515-339-4423"</f>
        <v>515-339-4423</v>
      </c>
      <c r="J367" s="11">
        <v>1</v>
      </c>
      <c r="K367" s="11">
        <v>8</v>
      </c>
      <c r="L367" s="11">
        <v>7</v>
      </c>
      <c r="M367" s="11" t="s">
        <v>3050</v>
      </c>
      <c r="N367" s="14">
        <v>43432</v>
      </c>
      <c r="P367" t="s">
        <v>730</v>
      </c>
      <c r="Q367" t="s">
        <v>725</v>
      </c>
      <c r="R367" t="s">
        <v>726</v>
      </c>
      <c r="T367" t="s">
        <v>17</v>
      </c>
      <c r="U367" t="s">
        <v>18</v>
      </c>
      <c r="V367" s="6" t="s">
        <v>2943</v>
      </c>
      <c r="W367" t="s">
        <v>727</v>
      </c>
      <c r="X367" t="str">
        <f>"515-224-4442"</f>
        <v>515-224-4442</v>
      </c>
      <c r="Y367" t="s">
        <v>21</v>
      </c>
      <c r="Z367" t="s">
        <v>116</v>
      </c>
    </row>
    <row r="368" spans="1:26" x14ac:dyDescent="0.25">
      <c r="A368" t="str">
        <f>"04-45"</f>
        <v>04-45</v>
      </c>
      <c r="C368" t="s">
        <v>2387</v>
      </c>
      <c r="D368" t="s">
        <v>521</v>
      </c>
      <c r="E368" t="s">
        <v>3097</v>
      </c>
      <c r="F368" t="s">
        <v>11</v>
      </c>
      <c r="G368" t="s">
        <v>295</v>
      </c>
      <c r="H368" t="s">
        <v>296</v>
      </c>
      <c r="I368" t="str">
        <f>"262-790-4560"</f>
        <v>262-790-4560</v>
      </c>
      <c r="J368" s="11">
        <v>1</v>
      </c>
      <c r="K368" s="11">
        <v>36</v>
      </c>
      <c r="L368" s="11">
        <v>35</v>
      </c>
      <c r="M368" s="11" t="s">
        <v>3051</v>
      </c>
      <c r="N368" s="14">
        <v>43223</v>
      </c>
      <c r="P368" t="s">
        <v>522</v>
      </c>
      <c r="Q368" t="s">
        <v>296</v>
      </c>
      <c r="R368" t="s">
        <v>298</v>
      </c>
      <c r="T368" t="s">
        <v>299</v>
      </c>
      <c r="U368" t="s">
        <v>300</v>
      </c>
      <c r="V368" s="6" t="s">
        <v>2909</v>
      </c>
      <c r="W368" t="s">
        <v>301</v>
      </c>
      <c r="X368" t="str">
        <f>"262-790-4560"</f>
        <v>262-790-4560</v>
      </c>
      <c r="Y368" t="s">
        <v>21</v>
      </c>
      <c r="Z368" t="s">
        <v>20</v>
      </c>
    </row>
    <row r="369" spans="1:26" x14ac:dyDescent="0.25">
      <c r="A369" t="str">
        <f>"12-12-30"</f>
        <v>12-12-30</v>
      </c>
      <c r="C369" t="s">
        <v>2552</v>
      </c>
      <c r="D369" t="s">
        <v>1376</v>
      </c>
      <c r="E369" t="s">
        <v>3097</v>
      </c>
      <c r="F369" t="s">
        <v>11</v>
      </c>
      <c r="G369" t="s">
        <v>12</v>
      </c>
      <c r="H369" t="s">
        <v>13</v>
      </c>
      <c r="I369" t="str">
        <f>"608-348-7755"</f>
        <v>608-348-7755</v>
      </c>
      <c r="J369" s="11">
        <v>10</v>
      </c>
      <c r="K369" s="11">
        <v>21</v>
      </c>
      <c r="L369" s="11">
        <v>18</v>
      </c>
      <c r="M369" s="11" t="s">
        <v>3050</v>
      </c>
      <c r="N369" s="14">
        <v>43368</v>
      </c>
      <c r="P369" t="s">
        <v>1377</v>
      </c>
      <c r="Q369" t="s">
        <v>15</v>
      </c>
      <c r="R369" t="s">
        <v>16</v>
      </c>
      <c r="T369" t="s">
        <v>17</v>
      </c>
      <c r="U369" t="s">
        <v>18</v>
      </c>
      <c r="V369" s="6" t="s">
        <v>2931</v>
      </c>
      <c r="W369" t="s">
        <v>19</v>
      </c>
      <c r="X369" t="str">
        <f>"608-348-7755"</f>
        <v>608-348-7755</v>
      </c>
      <c r="Y369" t="s">
        <v>21</v>
      </c>
      <c r="Z369" t="s">
        <v>20</v>
      </c>
    </row>
    <row r="370" spans="1:26" x14ac:dyDescent="0.25">
      <c r="A370" t="str">
        <f>"91-61"</f>
        <v>91-61</v>
      </c>
      <c r="C370" t="s">
        <v>2666</v>
      </c>
      <c r="D370" t="s">
        <v>1882</v>
      </c>
      <c r="E370" t="s">
        <v>3098</v>
      </c>
      <c r="F370" t="s">
        <v>190</v>
      </c>
      <c r="G370" t="s">
        <v>107</v>
      </c>
      <c r="H370" t="s">
        <v>108</v>
      </c>
      <c r="I370" t="str">
        <f>"515-313-7306"</f>
        <v>515-313-7306</v>
      </c>
      <c r="J370" s="11">
        <v>1</v>
      </c>
      <c r="K370" s="11">
        <v>8</v>
      </c>
      <c r="L370" s="11">
        <v>8</v>
      </c>
      <c r="M370" s="11" t="s">
        <v>3051</v>
      </c>
      <c r="N370" s="14">
        <v>43591</v>
      </c>
      <c r="P370" t="s">
        <v>1883</v>
      </c>
      <c r="Q370" t="s">
        <v>1884</v>
      </c>
      <c r="R370" t="s">
        <v>1885</v>
      </c>
      <c r="T370" t="s">
        <v>1886</v>
      </c>
      <c r="U370" t="s">
        <v>18</v>
      </c>
      <c r="V370" s="6" t="s">
        <v>3030</v>
      </c>
      <c r="W370" t="s">
        <v>1887</v>
      </c>
      <c r="X370" t="str">
        <f>"641-352-0117"</f>
        <v>641-352-0117</v>
      </c>
      <c r="Z370" t="s">
        <v>116</v>
      </c>
    </row>
    <row r="371" spans="1:26" x14ac:dyDescent="0.25">
      <c r="A371" t="str">
        <f>"92-32"</f>
        <v>92-32</v>
      </c>
      <c r="C371" t="s">
        <v>2673</v>
      </c>
      <c r="D371" t="s">
        <v>1908</v>
      </c>
      <c r="E371" t="s">
        <v>3098</v>
      </c>
      <c r="F371" t="s">
        <v>190</v>
      </c>
      <c r="G371" t="s">
        <v>107</v>
      </c>
      <c r="H371" t="s">
        <v>108</v>
      </c>
      <c r="I371" t="str">
        <f>"515-313-7306"</f>
        <v>515-313-7306</v>
      </c>
      <c r="J371" s="11">
        <v>1</v>
      </c>
      <c r="K371" s="11">
        <v>8</v>
      </c>
      <c r="L371" s="11">
        <v>8</v>
      </c>
      <c r="M371" s="11" t="s">
        <v>3051</v>
      </c>
      <c r="N371" s="14">
        <v>43591</v>
      </c>
      <c r="P371" t="s">
        <v>1909</v>
      </c>
      <c r="Q371" t="s">
        <v>1884</v>
      </c>
      <c r="R371" t="s">
        <v>1885</v>
      </c>
      <c r="T371" t="s">
        <v>1886</v>
      </c>
      <c r="U371" t="s">
        <v>18</v>
      </c>
      <c r="V371" s="6" t="s">
        <v>3033</v>
      </c>
      <c r="W371" t="s">
        <v>1887</v>
      </c>
      <c r="X371" t="str">
        <f>"641-352-0117"</f>
        <v>641-352-0117</v>
      </c>
      <c r="Z371" t="s">
        <v>116</v>
      </c>
    </row>
    <row r="372" spans="1:26" x14ac:dyDescent="0.25">
      <c r="A372" t="str">
        <f>"03-11"</f>
        <v>03-11</v>
      </c>
      <c r="B372" t="s">
        <v>377</v>
      </c>
      <c r="C372" t="s">
        <v>2842</v>
      </c>
      <c r="D372" t="s">
        <v>378</v>
      </c>
      <c r="E372" t="s">
        <v>3099</v>
      </c>
      <c r="F372" t="s">
        <v>379</v>
      </c>
      <c r="G372" t="s">
        <v>380</v>
      </c>
      <c r="H372" t="s">
        <v>335</v>
      </c>
      <c r="I372" t="str">
        <f>"712-546-6003"</f>
        <v>712-546-6003</v>
      </c>
      <c r="J372" s="11">
        <v>1</v>
      </c>
      <c r="K372" s="11">
        <v>27</v>
      </c>
      <c r="L372" s="11">
        <v>26</v>
      </c>
      <c r="M372" s="11" t="s">
        <v>3149</v>
      </c>
      <c r="N372" s="14">
        <v>43997</v>
      </c>
      <c r="P372" t="s">
        <v>381</v>
      </c>
      <c r="Q372" t="s">
        <v>335</v>
      </c>
      <c r="R372" t="s">
        <v>336</v>
      </c>
      <c r="S372" t="s">
        <v>337</v>
      </c>
      <c r="T372" t="s">
        <v>338</v>
      </c>
      <c r="U372" t="s">
        <v>18</v>
      </c>
      <c r="V372" s="6" t="s">
        <v>2913</v>
      </c>
      <c r="W372" t="s">
        <v>343</v>
      </c>
      <c r="X372" t="str">
        <f>"712-546-6003"</f>
        <v>712-546-6003</v>
      </c>
      <c r="Y372" t="s">
        <v>21</v>
      </c>
      <c r="Z372" t="s">
        <v>103</v>
      </c>
    </row>
    <row r="373" spans="1:26" x14ac:dyDescent="0.25">
      <c r="A373" t="str">
        <f>"93-22"</f>
        <v>93-22</v>
      </c>
      <c r="C373" t="s">
        <v>2684</v>
      </c>
      <c r="D373" t="s">
        <v>1949</v>
      </c>
      <c r="E373" t="s">
        <v>3099</v>
      </c>
      <c r="F373" t="s">
        <v>379</v>
      </c>
      <c r="G373" t="s">
        <v>142</v>
      </c>
      <c r="H373" t="s">
        <v>143</v>
      </c>
      <c r="I373" t="str">
        <f>"712-580-5360"</f>
        <v>712-580-5360</v>
      </c>
      <c r="J373" s="11">
        <v>1</v>
      </c>
      <c r="K373" s="11">
        <v>24</v>
      </c>
      <c r="L373" s="11">
        <v>24</v>
      </c>
      <c r="M373" s="11" t="s">
        <v>3051</v>
      </c>
      <c r="N373" s="14">
        <v>43578</v>
      </c>
      <c r="P373" t="s">
        <v>1950</v>
      </c>
      <c r="Q373" t="s">
        <v>145</v>
      </c>
      <c r="R373" t="s">
        <v>146</v>
      </c>
      <c r="T373" t="s">
        <v>147</v>
      </c>
      <c r="U373" t="s">
        <v>18</v>
      </c>
      <c r="V373" s="6" t="s">
        <v>2895</v>
      </c>
      <c r="W373" t="s">
        <v>148</v>
      </c>
      <c r="X373" t="str">
        <f>"712-240-2188"</f>
        <v>712-240-2188</v>
      </c>
      <c r="Z373" t="s">
        <v>116</v>
      </c>
    </row>
    <row r="374" spans="1:26" x14ac:dyDescent="0.25">
      <c r="A374" t="str">
        <f>"93-25"</f>
        <v>93-25</v>
      </c>
      <c r="C374" t="s">
        <v>2687</v>
      </c>
      <c r="D374" t="s">
        <v>1956</v>
      </c>
      <c r="E374" t="s">
        <v>3099</v>
      </c>
      <c r="F374" t="s">
        <v>379</v>
      </c>
      <c r="G374" t="s">
        <v>142</v>
      </c>
      <c r="H374" t="s">
        <v>143</v>
      </c>
      <c r="I374" t="str">
        <f>"712-580-5360"</f>
        <v>712-580-5360</v>
      </c>
      <c r="J374" s="11">
        <v>4</v>
      </c>
      <c r="K374" s="11">
        <v>24</v>
      </c>
      <c r="L374" s="11">
        <v>24</v>
      </c>
      <c r="M374" s="11" t="s">
        <v>3051</v>
      </c>
      <c r="N374" s="14">
        <v>43578</v>
      </c>
      <c r="P374" t="s">
        <v>1957</v>
      </c>
      <c r="Q374" t="s">
        <v>145</v>
      </c>
      <c r="R374" t="s">
        <v>146</v>
      </c>
      <c r="T374" t="s">
        <v>147</v>
      </c>
      <c r="U374" t="s">
        <v>18</v>
      </c>
      <c r="V374" s="6" t="s">
        <v>2895</v>
      </c>
      <c r="W374" t="s">
        <v>148</v>
      </c>
      <c r="X374" t="str">
        <f>"712-240-2188"</f>
        <v>712-240-2188</v>
      </c>
      <c r="Z374" t="s">
        <v>116</v>
      </c>
    </row>
    <row r="375" spans="1:26" x14ac:dyDescent="0.25">
      <c r="A375" t="str">
        <f>"91-36"</f>
        <v>91-36</v>
      </c>
      <c r="C375" t="s">
        <v>2661</v>
      </c>
      <c r="D375" t="s">
        <v>1861</v>
      </c>
      <c r="E375" t="s">
        <v>3100</v>
      </c>
      <c r="F375" t="s">
        <v>1862</v>
      </c>
      <c r="G375" t="s">
        <v>107</v>
      </c>
      <c r="H375" t="s">
        <v>108</v>
      </c>
      <c r="I375" t="str">
        <f>"515-313-7306"</f>
        <v>515-313-7306</v>
      </c>
      <c r="J375" s="11">
        <v>2</v>
      </c>
      <c r="K375" s="11">
        <v>16</v>
      </c>
      <c r="L375" s="11">
        <v>16</v>
      </c>
      <c r="M375" s="11" t="s">
        <v>3051</v>
      </c>
      <c r="N375" s="14">
        <v>43690</v>
      </c>
      <c r="P375" t="s">
        <v>1863</v>
      </c>
      <c r="Q375" t="s">
        <v>145</v>
      </c>
      <c r="R375" t="s">
        <v>187</v>
      </c>
      <c r="T375" t="s">
        <v>60</v>
      </c>
      <c r="U375" t="s">
        <v>18</v>
      </c>
      <c r="V375" s="6" t="s">
        <v>2899</v>
      </c>
      <c r="W375" t="s">
        <v>148</v>
      </c>
      <c r="X375" t="str">
        <f>"712-580-5360"</f>
        <v>712-580-5360</v>
      </c>
      <c r="Z375" t="s">
        <v>116</v>
      </c>
    </row>
    <row r="376" spans="1:26" x14ac:dyDescent="0.25">
      <c r="A376" t="str">
        <f>"12-12-50"</f>
        <v>12-12-50</v>
      </c>
      <c r="B376" t="s">
        <v>1394</v>
      </c>
      <c r="C376" t="s">
        <v>2558</v>
      </c>
      <c r="D376" t="s">
        <v>1395</v>
      </c>
      <c r="E376" t="s">
        <v>3101</v>
      </c>
      <c r="F376" t="s">
        <v>721</v>
      </c>
      <c r="G376" t="s">
        <v>1396</v>
      </c>
      <c r="H376" t="s">
        <v>1397</v>
      </c>
      <c r="I376" t="str">
        <f>"712-274-7740"</f>
        <v>712-274-7740</v>
      </c>
      <c r="J376" s="11">
        <v>6</v>
      </c>
      <c r="K376" s="11">
        <v>24</v>
      </c>
      <c r="L376" s="11">
        <v>24</v>
      </c>
      <c r="M376" s="11" t="s">
        <v>3049</v>
      </c>
      <c r="N376" s="14">
        <v>44053</v>
      </c>
      <c r="P376" t="s">
        <v>1398</v>
      </c>
      <c r="Q376" t="s">
        <v>1399</v>
      </c>
      <c r="R376" t="s">
        <v>1400</v>
      </c>
      <c r="T376" t="s">
        <v>1401</v>
      </c>
      <c r="U376" t="s">
        <v>114</v>
      </c>
      <c r="V376" s="6" t="s">
        <v>2987</v>
      </c>
      <c r="W376" t="s">
        <v>1402</v>
      </c>
      <c r="X376" t="str">
        <f>"480-367-8880"</f>
        <v>480-367-8880</v>
      </c>
      <c r="Y376" t="s">
        <v>151</v>
      </c>
      <c r="Z376" t="s">
        <v>103</v>
      </c>
    </row>
    <row r="377" spans="1:26" x14ac:dyDescent="0.25">
      <c r="A377" t="str">
        <f>"90-35"</f>
        <v>90-35</v>
      </c>
      <c r="C377" t="s">
        <v>2787</v>
      </c>
      <c r="D377" t="s">
        <v>1786</v>
      </c>
      <c r="E377" t="s">
        <v>3102</v>
      </c>
      <c r="F377" t="s">
        <v>1787</v>
      </c>
      <c r="G377" t="s">
        <v>142</v>
      </c>
      <c r="H377" t="s">
        <v>143</v>
      </c>
      <c r="I377" t="str">
        <f>"712-580-5360"</f>
        <v>712-580-5360</v>
      </c>
      <c r="J377" s="11">
        <v>5</v>
      </c>
      <c r="K377" s="11">
        <v>20</v>
      </c>
      <c r="L377" s="11">
        <v>20</v>
      </c>
      <c r="M377" s="11" t="s">
        <v>3051</v>
      </c>
      <c r="N377" s="14">
        <v>43696</v>
      </c>
      <c r="P377" t="s">
        <v>1788</v>
      </c>
      <c r="Q377" t="s">
        <v>145</v>
      </c>
      <c r="R377" t="s">
        <v>146</v>
      </c>
      <c r="T377" t="s">
        <v>147</v>
      </c>
      <c r="U377" t="s">
        <v>18</v>
      </c>
      <c r="V377" s="6" t="s">
        <v>2895</v>
      </c>
      <c r="W377" t="s">
        <v>148</v>
      </c>
      <c r="X377" t="str">
        <f>"712-240-2188"</f>
        <v>712-240-2188</v>
      </c>
      <c r="Z377" t="s">
        <v>116</v>
      </c>
    </row>
    <row r="378" spans="1:26" x14ac:dyDescent="0.25">
      <c r="A378" t="str">
        <f>"91-19"</f>
        <v>91-19</v>
      </c>
      <c r="C378" t="s">
        <v>2817</v>
      </c>
      <c r="D378" t="s">
        <v>1839</v>
      </c>
      <c r="E378" t="s">
        <v>3102</v>
      </c>
      <c r="F378" t="s">
        <v>1787</v>
      </c>
      <c r="G378" t="s">
        <v>1840</v>
      </c>
      <c r="H378" t="s">
        <v>1840</v>
      </c>
      <c r="I378" t="str">
        <f>"563-922-2355"</f>
        <v>563-922-2355</v>
      </c>
      <c r="J378" s="11">
        <v>2</v>
      </c>
      <c r="K378" s="11">
        <v>8</v>
      </c>
      <c r="L378" s="11">
        <v>8</v>
      </c>
      <c r="M378" s="11" t="s">
        <v>3051</v>
      </c>
      <c r="N378" s="14">
        <v>43529</v>
      </c>
      <c r="P378" t="s">
        <v>1788</v>
      </c>
      <c r="Q378" t="s">
        <v>1840</v>
      </c>
      <c r="R378" t="s">
        <v>146</v>
      </c>
      <c r="T378" t="s">
        <v>147</v>
      </c>
      <c r="U378" t="s">
        <v>18</v>
      </c>
      <c r="V378" s="6" t="s">
        <v>2895</v>
      </c>
      <c r="W378" t="s">
        <v>148</v>
      </c>
      <c r="X378" t="str">
        <f>"563-922-2355"</f>
        <v>563-922-2355</v>
      </c>
      <c r="Z378" t="s">
        <v>116</v>
      </c>
    </row>
    <row r="379" spans="1:26" x14ac:dyDescent="0.25">
      <c r="A379" t="str">
        <f>"95-78"</f>
        <v>95-78</v>
      </c>
      <c r="B379" t="s">
        <v>2074</v>
      </c>
      <c r="C379" t="s">
        <v>2715</v>
      </c>
      <c r="D379" t="s">
        <v>2075</v>
      </c>
      <c r="E379" t="s">
        <v>3102</v>
      </c>
      <c r="F379" t="s">
        <v>1787</v>
      </c>
      <c r="G379" t="s">
        <v>851</v>
      </c>
      <c r="H379" t="s">
        <v>852</v>
      </c>
      <c r="I379" t="str">
        <f>"515-490-9001"</f>
        <v>515-490-9001</v>
      </c>
      <c r="J379" s="11">
        <v>1</v>
      </c>
      <c r="K379" s="11">
        <v>24</v>
      </c>
      <c r="L379" s="11">
        <v>24</v>
      </c>
      <c r="M379" s="11" t="s">
        <v>3051</v>
      </c>
      <c r="N379" s="14">
        <v>42773</v>
      </c>
      <c r="P379" t="s">
        <v>2076</v>
      </c>
      <c r="Q379" t="s">
        <v>852</v>
      </c>
      <c r="R379" t="s">
        <v>998</v>
      </c>
      <c r="S379" t="s">
        <v>999</v>
      </c>
      <c r="T379" t="s">
        <v>17</v>
      </c>
      <c r="U379" t="s">
        <v>18</v>
      </c>
      <c r="V379" s="6" t="s">
        <v>2962</v>
      </c>
      <c r="W379" t="s">
        <v>1000</v>
      </c>
      <c r="X379" t="str">
        <f>"515-490-9001"</f>
        <v>515-490-9001</v>
      </c>
      <c r="Y379" t="s">
        <v>21</v>
      </c>
      <c r="Z379" t="s">
        <v>44</v>
      </c>
    </row>
    <row r="380" spans="1:26" x14ac:dyDescent="0.25">
      <c r="A380" t="str">
        <f>"91-06"</f>
        <v>91-06</v>
      </c>
      <c r="C380" t="s">
        <v>2655</v>
      </c>
      <c r="D380" t="s">
        <v>1824</v>
      </c>
      <c r="E380" t="s">
        <v>3103</v>
      </c>
      <c r="F380" t="s">
        <v>1825</v>
      </c>
      <c r="G380" t="s">
        <v>1826</v>
      </c>
      <c r="H380" t="s">
        <v>1827</v>
      </c>
      <c r="I380" t="str">
        <f>"515-570-3529"</f>
        <v>515-570-3529</v>
      </c>
      <c r="J380" s="11">
        <v>2</v>
      </c>
      <c r="K380" s="11">
        <v>8</v>
      </c>
      <c r="L380" s="11">
        <v>8</v>
      </c>
      <c r="M380" s="11" t="s">
        <v>3051</v>
      </c>
      <c r="N380" s="14">
        <v>43728</v>
      </c>
      <c r="P380" t="s">
        <v>1826</v>
      </c>
      <c r="Q380" t="s">
        <v>1827</v>
      </c>
      <c r="R380" t="s">
        <v>1828</v>
      </c>
      <c r="T380" t="s">
        <v>270</v>
      </c>
      <c r="U380" t="s">
        <v>18</v>
      </c>
      <c r="V380" s="6" t="s">
        <v>2906</v>
      </c>
      <c r="W380" t="s">
        <v>1829</v>
      </c>
      <c r="X380" t="str">
        <f>"515-570-3529"</f>
        <v>515-570-3529</v>
      </c>
      <c r="Z380" t="s">
        <v>116</v>
      </c>
    </row>
    <row r="381" spans="1:26" x14ac:dyDescent="0.25">
      <c r="A381" t="str">
        <f>"05-15"</f>
        <v>05-15</v>
      </c>
      <c r="C381" t="s">
        <v>2796</v>
      </c>
      <c r="D381" t="s">
        <v>573</v>
      </c>
      <c r="E381" t="s">
        <v>3104</v>
      </c>
      <c r="F381" t="s">
        <v>464</v>
      </c>
      <c r="G381" t="s">
        <v>12</v>
      </c>
      <c r="H381" t="s">
        <v>13</v>
      </c>
      <c r="I381" t="str">
        <f>"608-348-7755"</f>
        <v>608-348-7755</v>
      </c>
      <c r="J381" s="11">
        <v>1</v>
      </c>
      <c r="K381" s="11">
        <v>22</v>
      </c>
      <c r="L381" s="11">
        <v>22</v>
      </c>
      <c r="M381" s="11" t="s">
        <v>3051</v>
      </c>
      <c r="N381" s="14">
        <v>43784</v>
      </c>
      <c r="P381" t="s">
        <v>574</v>
      </c>
      <c r="Q381" t="s">
        <v>47</v>
      </c>
      <c r="R381" t="s">
        <v>48</v>
      </c>
      <c r="T381" t="s">
        <v>49</v>
      </c>
      <c r="U381" t="s">
        <v>50</v>
      </c>
      <c r="V381" s="6" t="s">
        <v>2887</v>
      </c>
      <c r="W381" t="s">
        <v>51</v>
      </c>
      <c r="X381" t="str">
        <f>"800-333-3509"</f>
        <v>800-333-3509</v>
      </c>
      <c r="Y381" t="s">
        <v>33</v>
      </c>
      <c r="Z381" t="s">
        <v>20</v>
      </c>
    </row>
    <row r="382" spans="1:26" x14ac:dyDescent="0.25">
      <c r="A382" t="str">
        <f>"99-23"</f>
        <v>99-23</v>
      </c>
      <c r="C382" t="s">
        <v>2767</v>
      </c>
      <c r="D382" t="s">
        <v>2256</v>
      </c>
      <c r="E382" t="s">
        <v>3104</v>
      </c>
      <c r="F382" t="s">
        <v>464</v>
      </c>
      <c r="G382" t="s">
        <v>12</v>
      </c>
      <c r="H382" t="s">
        <v>13</v>
      </c>
      <c r="I382" t="str">
        <f>"608-348-7755"</f>
        <v>608-348-7755</v>
      </c>
      <c r="J382" s="11">
        <v>3</v>
      </c>
      <c r="K382" s="11">
        <v>18</v>
      </c>
      <c r="L382" s="11">
        <v>18</v>
      </c>
      <c r="M382" s="11" t="s">
        <v>3051</v>
      </c>
      <c r="N382" s="14">
        <v>43423</v>
      </c>
      <c r="P382" t="s">
        <v>2257</v>
      </c>
      <c r="Q382" t="s">
        <v>15</v>
      </c>
      <c r="R382" t="s">
        <v>16</v>
      </c>
      <c r="T382" t="s">
        <v>17</v>
      </c>
      <c r="U382" t="s">
        <v>18</v>
      </c>
      <c r="V382" s="6" t="s">
        <v>2931</v>
      </c>
      <c r="W382" t="s">
        <v>19</v>
      </c>
      <c r="X382" t="str">
        <f>"608-348-7755"</f>
        <v>608-348-7755</v>
      </c>
      <c r="Y382" t="s">
        <v>21</v>
      </c>
      <c r="Z382" t="s">
        <v>20</v>
      </c>
    </row>
    <row r="383" spans="1:26" x14ac:dyDescent="0.25">
      <c r="A383" t="str">
        <f>"99-31"</f>
        <v>99-31</v>
      </c>
      <c r="B383" t="s">
        <v>2263</v>
      </c>
      <c r="C383" t="s">
        <v>2770</v>
      </c>
      <c r="D383" t="s">
        <v>2264</v>
      </c>
      <c r="E383" t="s">
        <v>3104</v>
      </c>
      <c r="F383" t="s">
        <v>464</v>
      </c>
      <c r="G383" t="s">
        <v>78</v>
      </c>
      <c r="H383" t="s">
        <v>79</v>
      </c>
      <c r="I383" t="str">
        <f>"515-225-4782"</f>
        <v>515-225-4782</v>
      </c>
      <c r="J383" s="11">
        <v>1</v>
      </c>
      <c r="K383" s="11">
        <v>24</v>
      </c>
      <c r="L383" s="11">
        <v>24</v>
      </c>
      <c r="M383" s="11" t="s">
        <v>3051</v>
      </c>
      <c r="N383" s="14">
        <v>43535</v>
      </c>
      <c r="P383" t="s">
        <v>2265</v>
      </c>
      <c r="Q383" t="s">
        <v>81</v>
      </c>
      <c r="R383" t="s">
        <v>82</v>
      </c>
      <c r="S383" t="s">
        <v>83</v>
      </c>
      <c r="T383" t="s">
        <v>84</v>
      </c>
      <c r="U383" t="s">
        <v>18</v>
      </c>
      <c r="V383" s="6" t="s">
        <v>2890</v>
      </c>
      <c r="W383" t="s">
        <v>85</v>
      </c>
      <c r="X383" t="str">
        <f>"319-338-7600"</f>
        <v>319-338-7600</v>
      </c>
      <c r="Y383" t="s">
        <v>21</v>
      </c>
      <c r="Z383" t="s">
        <v>62</v>
      </c>
    </row>
    <row r="384" spans="1:26" x14ac:dyDescent="0.25">
      <c r="A384" t="str">
        <f>"93-23"</f>
        <v>93-23</v>
      </c>
      <c r="C384" t="s">
        <v>2685</v>
      </c>
      <c r="D384" t="s">
        <v>1951</v>
      </c>
      <c r="E384" t="s">
        <v>3105</v>
      </c>
      <c r="F384" t="s">
        <v>1898</v>
      </c>
      <c r="G384" t="s">
        <v>142</v>
      </c>
      <c r="H384" t="s">
        <v>143</v>
      </c>
      <c r="I384" t="str">
        <f>"712-580-5360"</f>
        <v>712-580-5360</v>
      </c>
      <c r="J384" s="11">
        <v>3</v>
      </c>
      <c r="K384" s="11">
        <v>24</v>
      </c>
      <c r="L384" s="11">
        <v>24</v>
      </c>
      <c r="M384" s="11" t="s">
        <v>3051</v>
      </c>
      <c r="N384" s="14">
        <v>43591</v>
      </c>
      <c r="P384" t="s">
        <v>1952</v>
      </c>
      <c r="Q384" t="s">
        <v>145</v>
      </c>
      <c r="R384" t="s">
        <v>146</v>
      </c>
      <c r="T384" t="s">
        <v>147</v>
      </c>
      <c r="U384" t="s">
        <v>18</v>
      </c>
      <c r="V384" s="6" t="s">
        <v>2895</v>
      </c>
      <c r="W384" t="s">
        <v>148</v>
      </c>
      <c r="X384" t="str">
        <f>"712-240-2188"</f>
        <v>712-240-2188</v>
      </c>
      <c r="Z384" t="s">
        <v>116</v>
      </c>
    </row>
    <row r="385" spans="1:26" x14ac:dyDescent="0.25">
      <c r="A385" t="str">
        <f>"02-25"</f>
        <v>02-25</v>
      </c>
      <c r="B385" t="s">
        <v>322</v>
      </c>
      <c r="C385" t="s">
        <v>2351</v>
      </c>
      <c r="D385" t="s">
        <v>323</v>
      </c>
      <c r="E385" t="s">
        <v>330</v>
      </c>
      <c r="F385" t="s">
        <v>149</v>
      </c>
      <c r="G385" t="s">
        <v>324</v>
      </c>
      <c r="H385" t="s">
        <v>325</v>
      </c>
      <c r="I385" t="str">
        <f>"402-333-7373"</f>
        <v>402-333-7373</v>
      </c>
      <c r="J385" s="11">
        <v>1</v>
      </c>
      <c r="K385" s="11">
        <v>32</v>
      </c>
      <c r="L385" s="11">
        <v>31</v>
      </c>
      <c r="M385" s="11" t="s">
        <v>3149</v>
      </c>
      <c r="N385" s="14">
        <v>43784</v>
      </c>
      <c r="P385" t="s">
        <v>326</v>
      </c>
      <c r="Q385" t="s">
        <v>327</v>
      </c>
      <c r="R385" t="s">
        <v>328</v>
      </c>
      <c r="S385" t="s">
        <v>329</v>
      </c>
      <c r="T385" t="s">
        <v>330</v>
      </c>
      <c r="U385" t="s">
        <v>18</v>
      </c>
      <c r="V385" s="6" t="s">
        <v>2912</v>
      </c>
      <c r="W385" t="s">
        <v>331</v>
      </c>
      <c r="X385" t="str">
        <f>"319-440-2123"</f>
        <v>319-440-2123</v>
      </c>
      <c r="Y385" t="s">
        <v>21</v>
      </c>
      <c r="Z385" t="s">
        <v>103</v>
      </c>
    </row>
    <row r="386" spans="1:26" x14ac:dyDescent="0.25">
      <c r="A386" t="str">
        <f>"03-46"</f>
        <v>03-46</v>
      </c>
      <c r="C386" t="s">
        <v>2370</v>
      </c>
      <c r="D386" t="s">
        <v>458</v>
      </c>
      <c r="E386" t="s">
        <v>330</v>
      </c>
      <c r="F386" t="s">
        <v>149</v>
      </c>
      <c r="G386" t="s">
        <v>324</v>
      </c>
      <c r="H386" t="s">
        <v>345</v>
      </c>
      <c r="I386" t="str">
        <f>"402-763-9465"</f>
        <v>402-763-9465</v>
      </c>
      <c r="J386" s="11">
        <v>13</v>
      </c>
      <c r="K386" s="11">
        <v>144</v>
      </c>
      <c r="L386" s="11">
        <v>144</v>
      </c>
      <c r="M386" s="11" t="s">
        <v>3051</v>
      </c>
      <c r="N386" s="14">
        <v>43811</v>
      </c>
      <c r="P386" t="s">
        <v>459</v>
      </c>
      <c r="Q386" t="s">
        <v>347</v>
      </c>
      <c r="R386" t="s">
        <v>348</v>
      </c>
      <c r="T386" t="s">
        <v>216</v>
      </c>
      <c r="U386" t="s">
        <v>42</v>
      </c>
      <c r="V386" s="6" t="s">
        <v>2914</v>
      </c>
      <c r="W386" t="s">
        <v>349</v>
      </c>
      <c r="X386" t="str">
        <f>"402-952-4599"</f>
        <v>402-952-4599</v>
      </c>
      <c r="Y386" t="s">
        <v>21</v>
      </c>
      <c r="Z386" t="s">
        <v>103</v>
      </c>
    </row>
    <row r="387" spans="1:26" x14ac:dyDescent="0.25">
      <c r="A387" t="str">
        <f>"15-15-14"</f>
        <v>15-15-14</v>
      </c>
      <c r="C387" t="s">
        <v>2597</v>
      </c>
      <c r="D387" t="s">
        <v>1571</v>
      </c>
      <c r="E387" t="s">
        <v>330</v>
      </c>
      <c r="F387" t="s">
        <v>149</v>
      </c>
      <c r="G387" t="s">
        <v>352</v>
      </c>
      <c r="H387" t="s">
        <v>1548</v>
      </c>
      <c r="I387" t="str">
        <f>"317-252-0217"</f>
        <v>317-252-0217</v>
      </c>
      <c r="J387" s="11">
        <v>1</v>
      </c>
      <c r="K387" s="11">
        <v>60</v>
      </c>
      <c r="L387" s="11">
        <v>57</v>
      </c>
      <c r="M387" s="11" t="s">
        <v>3050</v>
      </c>
      <c r="N387" s="14">
        <v>43241</v>
      </c>
      <c r="P387" t="s">
        <v>1572</v>
      </c>
      <c r="Q387" t="s">
        <v>1550</v>
      </c>
      <c r="R387" t="s">
        <v>1551</v>
      </c>
      <c r="S387" t="s">
        <v>357</v>
      </c>
      <c r="T387" t="s">
        <v>358</v>
      </c>
      <c r="U387" t="s">
        <v>359</v>
      </c>
      <c r="V387" s="6" t="s">
        <v>2999</v>
      </c>
      <c r="W387" t="s">
        <v>1552</v>
      </c>
      <c r="X387" t="str">
        <f>"317-252-0221"</f>
        <v>317-252-0221</v>
      </c>
      <c r="Y387" t="s">
        <v>21</v>
      </c>
      <c r="Z387" t="s">
        <v>20</v>
      </c>
    </row>
    <row r="388" spans="1:26" x14ac:dyDescent="0.25">
      <c r="A388" t="str">
        <f>"15-15-16"</f>
        <v>15-15-16</v>
      </c>
      <c r="B388" t="s">
        <v>1573</v>
      </c>
      <c r="C388" t="s">
        <v>2598</v>
      </c>
      <c r="D388" t="s">
        <v>1574</v>
      </c>
      <c r="E388" t="s">
        <v>330</v>
      </c>
      <c r="F388" t="s">
        <v>149</v>
      </c>
      <c r="G388" t="s">
        <v>1575</v>
      </c>
      <c r="H388" t="s">
        <v>1576</v>
      </c>
      <c r="I388" t="str">
        <f>"847-849-5301"</f>
        <v>847-849-5301</v>
      </c>
      <c r="J388" s="11">
        <v>1</v>
      </c>
      <c r="K388" s="11">
        <v>70</v>
      </c>
      <c r="L388" s="11">
        <v>60</v>
      </c>
      <c r="M388" s="11" t="s">
        <v>3149</v>
      </c>
      <c r="N388" s="14">
        <v>44013</v>
      </c>
      <c r="P388" t="s">
        <v>1577</v>
      </c>
      <c r="Q388" t="s">
        <v>1578</v>
      </c>
      <c r="R388" t="s">
        <v>1579</v>
      </c>
      <c r="S388" t="s">
        <v>1580</v>
      </c>
      <c r="T388" t="s">
        <v>453</v>
      </c>
      <c r="U388" t="s">
        <v>454</v>
      </c>
      <c r="V388" s="6" t="s">
        <v>3000</v>
      </c>
      <c r="W388" t="s">
        <v>1581</v>
      </c>
      <c r="X388" t="str">
        <f>"847-849-5307"</f>
        <v>847-849-5307</v>
      </c>
      <c r="Y388" t="s">
        <v>21</v>
      </c>
      <c r="Z388" t="s">
        <v>116</v>
      </c>
    </row>
    <row r="389" spans="1:26" x14ac:dyDescent="0.25">
      <c r="A389" t="str">
        <f>"01-22"</f>
        <v>01-22</v>
      </c>
      <c r="B389" t="s">
        <v>188</v>
      </c>
      <c r="C389" t="s">
        <v>2837</v>
      </c>
      <c r="D389" t="s">
        <v>189</v>
      </c>
      <c r="E389" t="s">
        <v>417</v>
      </c>
      <c r="F389" t="s">
        <v>190</v>
      </c>
      <c r="G389" t="s">
        <v>78</v>
      </c>
      <c r="H389" t="s">
        <v>79</v>
      </c>
      <c r="I389" t="str">
        <f>"515-225-4782"</f>
        <v>515-225-4782</v>
      </c>
      <c r="J389" s="11">
        <v>7</v>
      </c>
      <c r="K389" s="11">
        <v>28</v>
      </c>
      <c r="L389" s="11">
        <v>28</v>
      </c>
      <c r="M389" s="11" t="s">
        <v>3149</v>
      </c>
      <c r="N389" s="14">
        <v>44018</v>
      </c>
      <c r="P389" t="s">
        <v>191</v>
      </c>
      <c r="Q389" t="s">
        <v>81</v>
      </c>
      <c r="R389" t="s">
        <v>82</v>
      </c>
      <c r="S389" t="s">
        <v>83</v>
      </c>
      <c r="T389" t="s">
        <v>84</v>
      </c>
      <c r="U389" t="s">
        <v>18</v>
      </c>
      <c r="V389" s="6" t="s">
        <v>2890</v>
      </c>
      <c r="W389" t="s">
        <v>85</v>
      </c>
      <c r="X389" t="str">
        <f>"319-338-7600"</f>
        <v>319-338-7600</v>
      </c>
      <c r="Y389" t="s">
        <v>21</v>
      </c>
      <c r="Z389" t="s">
        <v>62</v>
      </c>
    </row>
    <row r="390" spans="1:26" x14ac:dyDescent="0.25">
      <c r="A390" t="str">
        <f>"02-10"</f>
        <v>02-10</v>
      </c>
      <c r="B390" t="s">
        <v>261</v>
      </c>
      <c r="C390" t="s">
        <v>2840</v>
      </c>
      <c r="D390" t="s">
        <v>262</v>
      </c>
      <c r="E390" t="s">
        <v>417</v>
      </c>
      <c r="F390" t="s">
        <v>190</v>
      </c>
      <c r="G390" t="s">
        <v>78</v>
      </c>
      <c r="H390" t="s">
        <v>79</v>
      </c>
      <c r="I390" t="str">
        <f>"515-225-4782"</f>
        <v>515-225-4782</v>
      </c>
      <c r="J390" s="11">
        <v>5</v>
      </c>
      <c r="K390" s="11">
        <v>20</v>
      </c>
      <c r="L390" s="11">
        <v>20</v>
      </c>
      <c r="M390" s="11" t="s">
        <v>3049</v>
      </c>
      <c r="N390" s="14">
        <v>43574</v>
      </c>
      <c r="P390" t="s">
        <v>263</v>
      </c>
      <c r="Q390" t="s">
        <v>81</v>
      </c>
      <c r="R390" t="s">
        <v>82</v>
      </c>
      <c r="S390" t="s">
        <v>83</v>
      </c>
      <c r="T390" t="s">
        <v>84</v>
      </c>
      <c r="U390" t="s">
        <v>18</v>
      </c>
      <c r="V390" s="6" t="s">
        <v>2890</v>
      </c>
      <c r="W390" t="s">
        <v>85</v>
      </c>
      <c r="X390" t="str">
        <f>"319-338-7600"</f>
        <v>319-338-7600</v>
      </c>
      <c r="Y390" t="s">
        <v>21</v>
      </c>
      <c r="Z390" t="s">
        <v>62</v>
      </c>
    </row>
    <row r="391" spans="1:26" x14ac:dyDescent="0.25">
      <c r="A391" t="str">
        <f>"03-25"</f>
        <v>03-25</v>
      </c>
      <c r="B391" t="s">
        <v>412</v>
      </c>
      <c r="C391" t="s">
        <v>2362</v>
      </c>
      <c r="D391" t="s">
        <v>413</v>
      </c>
      <c r="E391" t="s">
        <v>417</v>
      </c>
      <c r="F391" t="s">
        <v>190</v>
      </c>
      <c r="G391" t="s">
        <v>414</v>
      </c>
      <c r="H391" t="s">
        <v>415</v>
      </c>
      <c r="I391" t="str">
        <f>"641-753-9191"</f>
        <v>641-753-9191</v>
      </c>
      <c r="J391" s="11">
        <v>1</v>
      </c>
      <c r="K391" s="11">
        <v>36</v>
      </c>
      <c r="L391" s="11">
        <v>36</v>
      </c>
      <c r="M391" s="11" t="s">
        <v>3149</v>
      </c>
      <c r="N391" s="14">
        <v>43871</v>
      </c>
      <c r="P391" t="s">
        <v>414</v>
      </c>
      <c r="Q391" t="s">
        <v>415</v>
      </c>
      <c r="R391" t="s">
        <v>416</v>
      </c>
      <c r="T391" t="s">
        <v>417</v>
      </c>
      <c r="U391" t="s">
        <v>18</v>
      </c>
      <c r="V391" s="6" t="s">
        <v>2920</v>
      </c>
      <c r="W391" t="s">
        <v>418</v>
      </c>
      <c r="X391" t="str">
        <f>"641-753-9191"</f>
        <v>641-753-9191</v>
      </c>
      <c r="Y391" t="s">
        <v>21</v>
      </c>
      <c r="Z391" t="s">
        <v>116</v>
      </c>
    </row>
    <row r="392" spans="1:26" x14ac:dyDescent="0.25">
      <c r="A392" t="str">
        <f>"12-12-20"</f>
        <v>12-12-20</v>
      </c>
      <c r="C392" t="s">
        <v>2547</v>
      </c>
      <c r="D392" t="s">
        <v>1358</v>
      </c>
      <c r="E392" t="s">
        <v>417</v>
      </c>
      <c r="F392" t="s">
        <v>190</v>
      </c>
      <c r="G392" t="s">
        <v>1026</v>
      </c>
      <c r="H392" t="s">
        <v>1027</v>
      </c>
      <c r="I392" t="str">
        <f>"651-291-1750"</f>
        <v>651-291-1750</v>
      </c>
      <c r="J392" s="11">
        <v>1</v>
      </c>
      <c r="K392" s="11">
        <v>49</v>
      </c>
      <c r="L392" s="11">
        <v>45</v>
      </c>
      <c r="M392" s="11" t="s">
        <v>3050</v>
      </c>
      <c r="N392" s="14">
        <v>43241</v>
      </c>
      <c r="P392" t="s">
        <v>1359</v>
      </c>
      <c r="Q392" t="s">
        <v>1027</v>
      </c>
      <c r="R392" t="s">
        <v>1029</v>
      </c>
      <c r="T392" t="s">
        <v>30</v>
      </c>
      <c r="U392" t="s">
        <v>31</v>
      </c>
      <c r="V392" s="6" t="s">
        <v>2964</v>
      </c>
      <c r="W392" t="s">
        <v>1030</v>
      </c>
      <c r="X392" t="str">
        <f>"651-291-1750"</f>
        <v>651-291-1750</v>
      </c>
      <c r="Y392" t="s">
        <v>151</v>
      </c>
      <c r="Z392" t="s">
        <v>103</v>
      </c>
    </row>
    <row r="393" spans="1:26" x14ac:dyDescent="0.25">
      <c r="A393" t="str">
        <f>"13-13-47"</f>
        <v>13-13-47</v>
      </c>
      <c r="C393" t="s">
        <v>2576</v>
      </c>
      <c r="D393" t="s">
        <v>1465</v>
      </c>
      <c r="E393" t="s">
        <v>417</v>
      </c>
      <c r="F393" t="s">
        <v>190</v>
      </c>
      <c r="G393" t="s">
        <v>1680</v>
      </c>
      <c r="H393" t="s">
        <v>1371</v>
      </c>
      <c r="I393" t="str">
        <f>"913-671-3300"</f>
        <v>913-671-3300</v>
      </c>
      <c r="J393" s="11">
        <v>1</v>
      </c>
      <c r="K393" s="11">
        <v>28</v>
      </c>
      <c r="L393" s="11">
        <v>28</v>
      </c>
      <c r="M393" s="11" t="s">
        <v>3050</v>
      </c>
      <c r="N393" s="14">
        <v>42530</v>
      </c>
      <c r="P393" t="s">
        <v>1466</v>
      </c>
      <c r="Q393" t="s">
        <v>1467</v>
      </c>
      <c r="R393" t="s">
        <v>1468</v>
      </c>
      <c r="S393" t="s">
        <v>875</v>
      </c>
      <c r="T393" t="s">
        <v>1469</v>
      </c>
      <c r="U393" t="s">
        <v>1196</v>
      </c>
      <c r="V393" s="6" t="s">
        <v>2991</v>
      </c>
      <c r="W393" t="s">
        <v>1470</v>
      </c>
      <c r="X393" t="str">
        <f>"913-671-3300"</f>
        <v>913-671-3300</v>
      </c>
      <c r="Y393" t="s">
        <v>151</v>
      </c>
      <c r="Z393" t="s">
        <v>103</v>
      </c>
    </row>
    <row r="394" spans="1:26" x14ac:dyDescent="0.25">
      <c r="A394" t="str">
        <f>"93-30"</f>
        <v>93-30</v>
      </c>
      <c r="C394" t="s">
        <v>2691</v>
      </c>
      <c r="D394" t="s">
        <v>1964</v>
      </c>
      <c r="E394" t="s">
        <v>417</v>
      </c>
      <c r="F394" t="s">
        <v>190</v>
      </c>
      <c r="G394" t="s">
        <v>1965</v>
      </c>
      <c r="H394" t="s">
        <v>1966</v>
      </c>
      <c r="I394" t="str">
        <f>"641-754-9034"</f>
        <v>641-754-9034</v>
      </c>
      <c r="J394" s="11">
        <v>1</v>
      </c>
      <c r="K394" s="11">
        <v>40</v>
      </c>
      <c r="L394" s="11">
        <v>40</v>
      </c>
      <c r="M394" s="11" t="s">
        <v>3051</v>
      </c>
      <c r="N394" s="14">
        <v>43657</v>
      </c>
      <c r="P394" t="s">
        <v>1967</v>
      </c>
      <c r="Q394" t="s">
        <v>1968</v>
      </c>
      <c r="R394" t="s">
        <v>1969</v>
      </c>
      <c r="T394" t="s">
        <v>417</v>
      </c>
      <c r="U394" t="s">
        <v>18</v>
      </c>
      <c r="V394" s="6" t="s">
        <v>2920</v>
      </c>
      <c r="W394" t="s">
        <v>1970</v>
      </c>
      <c r="X394" t="str">
        <f>"641-753-9034"</f>
        <v>641-753-9034</v>
      </c>
      <c r="Z394" t="s">
        <v>116</v>
      </c>
    </row>
    <row r="395" spans="1:26" x14ac:dyDescent="0.25">
      <c r="A395" t="str">
        <f>"94-15"</f>
        <v>94-15</v>
      </c>
      <c r="C395" t="s">
        <v>2696</v>
      </c>
      <c r="D395" t="s">
        <v>2002</v>
      </c>
      <c r="E395" t="s">
        <v>417</v>
      </c>
      <c r="F395" t="s">
        <v>190</v>
      </c>
      <c r="G395" t="s">
        <v>2003</v>
      </c>
      <c r="H395" t="s">
        <v>2004</v>
      </c>
      <c r="I395" t="str">
        <f>"641-485-9235"</f>
        <v>641-485-9235</v>
      </c>
      <c r="J395" s="11">
        <v>3</v>
      </c>
      <c r="K395" s="11">
        <v>32</v>
      </c>
      <c r="L395" s="11">
        <v>32</v>
      </c>
      <c r="M395" s="11" t="s">
        <v>3051</v>
      </c>
      <c r="N395" s="14">
        <v>42311</v>
      </c>
      <c r="P395" t="s">
        <v>2005</v>
      </c>
      <c r="Q395" t="s">
        <v>2004</v>
      </c>
      <c r="R395" t="s">
        <v>2006</v>
      </c>
      <c r="T395" t="s">
        <v>417</v>
      </c>
      <c r="U395" t="s">
        <v>18</v>
      </c>
      <c r="V395" s="6" t="s">
        <v>2920</v>
      </c>
      <c r="W395" t="s">
        <v>2007</v>
      </c>
      <c r="X395" t="str">
        <f>"641-485-9235"</f>
        <v>641-485-9235</v>
      </c>
      <c r="Y395" t="s">
        <v>21</v>
      </c>
      <c r="Z395" t="s">
        <v>20</v>
      </c>
    </row>
    <row r="396" spans="1:26" x14ac:dyDescent="0.25">
      <c r="A396" t="str">
        <f>"98-25"</f>
        <v>98-25</v>
      </c>
      <c r="C396" t="s">
        <v>2748</v>
      </c>
      <c r="D396" t="s">
        <v>2187</v>
      </c>
      <c r="E396" t="s">
        <v>417</v>
      </c>
      <c r="F396" t="s">
        <v>190</v>
      </c>
      <c r="G396" t="s">
        <v>295</v>
      </c>
      <c r="H396" t="s">
        <v>296</v>
      </c>
      <c r="I396" t="str">
        <f>"262-790-4560"</f>
        <v>262-790-4560</v>
      </c>
      <c r="J396" s="11">
        <v>2</v>
      </c>
      <c r="K396" s="11">
        <v>32</v>
      </c>
      <c r="L396" s="11">
        <v>32</v>
      </c>
      <c r="M396" s="11" t="s">
        <v>3051</v>
      </c>
      <c r="N396" s="14">
        <v>42530</v>
      </c>
      <c r="P396" t="s">
        <v>2188</v>
      </c>
      <c r="Q396" t="s">
        <v>296</v>
      </c>
      <c r="R396" t="s">
        <v>298</v>
      </c>
      <c r="T396" t="s">
        <v>299</v>
      </c>
      <c r="U396" t="s">
        <v>300</v>
      </c>
      <c r="V396" s="6" t="s">
        <v>3044</v>
      </c>
      <c r="W396" t="s">
        <v>301</v>
      </c>
      <c r="X396" t="str">
        <f>"262-790-4560"</f>
        <v>262-790-4560</v>
      </c>
      <c r="Z396" t="s">
        <v>20</v>
      </c>
    </row>
    <row r="397" spans="1:26" x14ac:dyDescent="0.25">
      <c r="A397" t="str">
        <f>"02-15"</f>
        <v>02-15</v>
      </c>
      <c r="B397" t="s">
        <v>275</v>
      </c>
      <c r="C397" t="s">
        <v>2841</v>
      </c>
      <c r="D397" t="s">
        <v>276</v>
      </c>
      <c r="E397" t="s">
        <v>2300</v>
      </c>
      <c r="F397" t="s">
        <v>277</v>
      </c>
      <c r="G397" t="s">
        <v>55</v>
      </c>
      <c r="H397" t="s">
        <v>56</v>
      </c>
      <c r="I397" t="str">
        <f>"712-262-5965"</f>
        <v>712-262-5965</v>
      </c>
      <c r="J397" s="11">
        <v>1</v>
      </c>
      <c r="K397" s="11">
        <v>46</v>
      </c>
      <c r="L397" s="11">
        <v>41</v>
      </c>
      <c r="M397" s="11" t="s">
        <v>3051</v>
      </c>
      <c r="N397" s="14">
        <v>42488</v>
      </c>
      <c r="P397" t="s">
        <v>278</v>
      </c>
      <c r="Q397" t="s">
        <v>58</v>
      </c>
      <c r="R397" t="s">
        <v>59</v>
      </c>
      <c r="T397" t="s">
        <v>60</v>
      </c>
      <c r="U397" t="s">
        <v>18</v>
      </c>
      <c r="V397" s="6" t="s">
        <v>2888</v>
      </c>
      <c r="W397" t="s">
        <v>61</v>
      </c>
      <c r="X397" t="str">
        <f>"515-262-5965"</f>
        <v>515-262-5965</v>
      </c>
      <c r="Y397" t="s">
        <v>151</v>
      </c>
      <c r="Z397" t="s">
        <v>62</v>
      </c>
    </row>
    <row r="398" spans="1:26" x14ac:dyDescent="0.25">
      <c r="A398" t="str">
        <f>"02-21"</f>
        <v>02-21</v>
      </c>
      <c r="B398" t="s">
        <v>302</v>
      </c>
      <c r="C398" t="s">
        <v>2793</v>
      </c>
      <c r="D398" t="s">
        <v>303</v>
      </c>
      <c r="E398" t="s">
        <v>2300</v>
      </c>
      <c r="F398" t="s">
        <v>277</v>
      </c>
      <c r="G398" t="s">
        <v>295</v>
      </c>
      <c r="H398" t="s">
        <v>296</v>
      </c>
      <c r="I398" t="str">
        <f>"262-790-4560"</f>
        <v>262-790-4560</v>
      </c>
      <c r="J398" s="11">
        <v>3</v>
      </c>
      <c r="K398" s="11">
        <v>33</v>
      </c>
      <c r="L398" s="11">
        <v>32</v>
      </c>
      <c r="M398" s="11" t="s">
        <v>3149</v>
      </c>
      <c r="N398" s="14">
        <v>43977</v>
      </c>
      <c r="P398" t="s">
        <v>304</v>
      </c>
      <c r="Q398" t="s">
        <v>296</v>
      </c>
      <c r="R398" t="s">
        <v>298</v>
      </c>
      <c r="T398" t="s">
        <v>299</v>
      </c>
      <c r="U398" t="s">
        <v>300</v>
      </c>
      <c r="V398" s="6" t="s">
        <v>2909</v>
      </c>
      <c r="W398" t="s">
        <v>301</v>
      </c>
      <c r="X398" t="str">
        <f>"262-790-4560"</f>
        <v>262-790-4560</v>
      </c>
      <c r="Y398" t="s">
        <v>21</v>
      </c>
      <c r="Z398" t="s">
        <v>20</v>
      </c>
    </row>
    <row r="399" spans="1:26" x14ac:dyDescent="0.25">
      <c r="A399" t="str">
        <f>"03-15"</f>
        <v>03-15</v>
      </c>
      <c r="C399" t="s">
        <v>2357</v>
      </c>
      <c r="D399" t="s">
        <v>382</v>
      </c>
      <c r="E399" t="s">
        <v>2300</v>
      </c>
      <c r="F399" t="s">
        <v>277</v>
      </c>
      <c r="G399" t="s">
        <v>383</v>
      </c>
      <c r="H399" t="s">
        <v>384</v>
      </c>
      <c r="I399" t="str">
        <f>"563-359-1075"</f>
        <v>563-359-1075</v>
      </c>
      <c r="J399" s="11">
        <v>16</v>
      </c>
      <c r="K399" s="11">
        <v>64</v>
      </c>
      <c r="L399" s="11">
        <v>62</v>
      </c>
      <c r="M399" s="11" t="s">
        <v>3051</v>
      </c>
      <c r="N399" s="14">
        <v>42627</v>
      </c>
      <c r="P399" t="s">
        <v>385</v>
      </c>
      <c r="Q399" t="s">
        <v>386</v>
      </c>
      <c r="R399" t="s">
        <v>387</v>
      </c>
      <c r="T399" t="s">
        <v>388</v>
      </c>
      <c r="U399" t="s">
        <v>300</v>
      </c>
      <c r="V399" s="6" t="s">
        <v>2917</v>
      </c>
      <c r="W399" t="s">
        <v>389</v>
      </c>
      <c r="X399" t="str">
        <f>"414-727-9902"</f>
        <v>414-727-9902</v>
      </c>
      <c r="Y399" t="s">
        <v>33</v>
      </c>
      <c r="Z399" t="s">
        <v>116</v>
      </c>
    </row>
    <row r="400" spans="1:26" x14ac:dyDescent="0.25">
      <c r="A400" t="str">
        <f>"12-12-6"</f>
        <v>12-12-6</v>
      </c>
      <c r="C400" t="s">
        <v>2559</v>
      </c>
      <c r="D400" t="s">
        <v>1403</v>
      </c>
      <c r="E400" t="s">
        <v>2300</v>
      </c>
      <c r="F400" t="s">
        <v>277</v>
      </c>
      <c r="G400" t="s">
        <v>851</v>
      </c>
      <c r="H400" t="s">
        <v>852</v>
      </c>
      <c r="I400" t="str">
        <f>"515-490-9001"</f>
        <v>515-490-9001</v>
      </c>
      <c r="J400" s="11">
        <v>1</v>
      </c>
      <c r="K400" s="11">
        <v>48</v>
      </c>
      <c r="L400" s="11">
        <v>47</v>
      </c>
      <c r="M400" s="11" t="s">
        <v>3050</v>
      </c>
      <c r="N400" s="14">
        <v>43211</v>
      </c>
      <c r="P400" t="s">
        <v>1404</v>
      </c>
      <c r="Q400" t="s">
        <v>1117</v>
      </c>
      <c r="R400" t="s">
        <v>1118</v>
      </c>
      <c r="S400" t="s">
        <v>1119</v>
      </c>
      <c r="T400" t="s">
        <v>1120</v>
      </c>
      <c r="U400" t="s">
        <v>454</v>
      </c>
      <c r="V400" s="6" t="s">
        <v>2971</v>
      </c>
      <c r="W400" t="s">
        <v>1121</v>
      </c>
      <c r="X400" t="str">
        <f>"815-540-4733"</f>
        <v>815-540-4733</v>
      </c>
      <c r="Y400" t="s">
        <v>21</v>
      </c>
      <c r="Z400" t="s">
        <v>44</v>
      </c>
    </row>
    <row r="401" spans="1:26" x14ac:dyDescent="0.25">
      <c r="A401" t="str">
        <f>"14-14-15"</f>
        <v>14-14-15</v>
      </c>
      <c r="B401" t="s">
        <v>1489</v>
      </c>
      <c r="C401" t="s">
        <v>2815</v>
      </c>
      <c r="D401" t="s">
        <v>1490</v>
      </c>
      <c r="E401" t="s">
        <v>2300</v>
      </c>
      <c r="F401" t="s">
        <v>277</v>
      </c>
      <c r="G401" t="s">
        <v>851</v>
      </c>
      <c r="H401" t="s">
        <v>852</v>
      </c>
      <c r="I401" t="str">
        <f>"515-490-9001"</f>
        <v>515-490-9001</v>
      </c>
      <c r="J401" s="11">
        <v>1</v>
      </c>
      <c r="K401" s="11">
        <v>48</v>
      </c>
      <c r="L401" s="11">
        <v>43</v>
      </c>
      <c r="M401" s="11" t="s">
        <v>3149</v>
      </c>
      <c r="N401" s="14">
        <v>43990</v>
      </c>
      <c r="P401" t="s">
        <v>1491</v>
      </c>
      <c r="Q401" t="s">
        <v>1117</v>
      </c>
      <c r="R401" t="s">
        <v>1118</v>
      </c>
      <c r="S401" t="s">
        <v>1119</v>
      </c>
      <c r="T401" t="s">
        <v>1120</v>
      </c>
      <c r="U401" t="s">
        <v>454</v>
      </c>
      <c r="V401" s="6" t="s">
        <v>2971</v>
      </c>
      <c r="W401" t="s">
        <v>1121</v>
      </c>
      <c r="X401" t="str">
        <f>"815-540-4733"</f>
        <v>815-540-4733</v>
      </c>
      <c r="Y401" t="s">
        <v>21</v>
      </c>
      <c r="Z401" t="s">
        <v>44</v>
      </c>
    </row>
    <row r="402" spans="1:26" x14ac:dyDescent="0.25">
      <c r="A402" t="str">
        <f>"91-55"</f>
        <v>91-55</v>
      </c>
      <c r="C402" t="s">
        <v>2665</v>
      </c>
      <c r="D402" t="s">
        <v>1876</v>
      </c>
      <c r="E402" t="s">
        <v>3106</v>
      </c>
      <c r="F402" t="s">
        <v>1562</v>
      </c>
      <c r="G402" t="s">
        <v>1877</v>
      </c>
      <c r="H402" t="s">
        <v>1878</v>
      </c>
      <c r="I402" t="str">
        <f>"608-784-2935"</f>
        <v>608-784-2935</v>
      </c>
      <c r="J402" s="11">
        <v>1</v>
      </c>
      <c r="K402" s="11">
        <v>15</v>
      </c>
      <c r="L402" s="11">
        <v>15</v>
      </c>
      <c r="M402" s="11" t="s">
        <v>3051</v>
      </c>
      <c r="N402" s="14">
        <v>43578</v>
      </c>
      <c r="P402" t="s">
        <v>1879</v>
      </c>
      <c r="Q402" t="s">
        <v>1880</v>
      </c>
      <c r="R402" t="s">
        <v>387</v>
      </c>
      <c r="T402" t="s">
        <v>388</v>
      </c>
      <c r="U402" t="s">
        <v>300</v>
      </c>
      <c r="V402" s="6" t="s">
        <v>2917</v>
      </c>
      <c r="W402" t="s">
        <v>1881</v>
      </c>
      <c r="X402" t="str">
        <f>"414-395-4456"</f>
        <v>414-395-4456</v>
      </c>
      <c r="Z402" t="s">
        <v>103</v>
      </c>
    </row>
    <row r="403" spans="1:26" x14ac:dyDescent="0.25">
      <c r="A403" t="str">
        <f>"13-13-1"</f>
        <v>13-13-1</v>
      </c>
      <c r="B403" t="s">
        <v>1422</v>
      </c>
      <c r="C403" t="s">
        <v>2858</v>
      </c>
      <c r="D403" t="s">
        <v>1423</v>
      </c>
      <c r="E403" t="s">
        <v>3107</v>
      </c>
      <c r="F403" t="s">
        <v>65</v>
      </c>
      <c r="G403" t="s">
        <v>55</v>
      </c>
      <c r="H403" t="s">
        <v>56</v>
      </c>
      <c r="I403" t="str">
        <f>"712-262-5965"</f>
        <v>712-262-5965</v>
      </c>
      <c r="J403" s="11">
        <v>1</v>
      </c>
      <c r="K403" s="11">
        <v>30</v>
      </c>
      <c r="L403" s="11">
        <v>30</v>
      </c>
      <c r="M403" s="11" t="s">
        <v>3050</v>
      </c>
      <c r="N403" s="14">
        <v>44137</v>
      </c>
      <c r="P403" t="s">
        <v>1424</v>
      </c>
      <c r="Q403" t="s">
        <v>58</v>
      </c>
      <c r="R403" t="s">
        <v>59</v>
      </c>
      <c r="T403" t="s">
        <v>60</v>
      </c>
      <c r="U403" t="s">
        <v>18</v>
      </c>
      <c r="V403" s="6" t="s">
        <v>2888</v>
      </c>
      <c r="W403" t="s">
        <v>61</v>
      </c>
      <c r="X403" t="str">
        <f>"515-262-5965"</f>
        <v>515-262-5965</v>
      </c>
      <c r="Y403" t="s">
        <v>151</v>
      </c>
      <c r="Z403" t="s">
        <v>62</v>
      </c>
    </row>
    <row r="404" spans="1:26" x14ac:dyDescent="0.25">
      <c r="A404" t="str">
        <f>"10-10-266"</f>
        <v>10-10-266</v>
      </c>
      <c r="C404" t="s">
        <v>2516</v>
      </c>
      <c r="D404" t="s">
        <v>1208</v>
      </c>
      <c r="E404" t="s">
        <v>3108</v>
      </c>
      <c r="F404" t="s">
        <v>202</v>
      </c>
      <c r="G404" t="s">
        <v>107</v>
      </c>
      <c r="H404" t="s">
        <v>108</v>
      </c>
      <c r="I404" t="str">
        <f>"515-313-7306"</f>
        <v>515-313-7306</v>
      </c>
      <c r="J404" s="11">
        <v>4</v>
      </c>
      <c r="K404" s="11">
        <v>24</v>
      </c>
      <c r="L404" s="11">
        <v>24</v>
      </c>
      <c r="M404" s="11" t="s">
        <v>3050</v>
      </c>
      <c r="N404" s="14">
        <v>43698</v>
      </c>
      <c r="P404" t="s">
        <v>2872</v>
      </c>
      <c r="Q404" t="s">
        <v>145</v>
      </c>
      <c r="R404" t="s">
        <v>187</v>
      </c>
      <c r="T404" t="s">
        <v>60</v>
      </c>
      <c r="U404" t="s">
        <v>18</v>
      </c>
      <c r="V404" s="6" t="s">
        <v>2899</v>
      </c>
      <c r="W404" t="s">
        <v>148</v>
      </c>
      <c r="X404" t="str">
        <f>"712-580-5360"</f>
        <v>712-580-5360</v>
      </c>
      <c r="Y404" t="s">
        <v>151</v>
      </c>
      <c r="Z404" t="s">
        <v>116</v>
      </c>
    </row>
    <row r="405" spans="1:26" x14ac:dyDescent="0.25">
      <c r="A405" t="str">
        <f>"98-75"</f>
        <v>98-75</v>
      </c>
      <c r="B405" t="s">
        <v>2235</v>
      </c>
      <c r="C405" t="s">
        <v>2763</v>
      </c>
      <c r="D405" t="s">
        <v>2236</v>
      </c>
      <c r="E405" t="s">
        <v>3109</v>
      </c>
      <c r="F405" t="s">
        <v>1142</v>
      </c>
      <c r="G405" t="s">
        <v>95</v>
      </c>
      <c r="H405" t="s">
        <v>96</v>
      </c>
      <c r="I405" t="str">
        <f>"402-488-1666"</f>
        <v>402-488-1666</v>
      </c>
      <c r="J405" s="11">
        <v>1</v>
      </c>
      <c r="K405" s="11">
        <v>24</v>
      </c>
      <c r="L405" s="11">
        <v>12</v>
      </c>
      <c r="M405" s="11" t="s">
        <v>3051</v>
      </c>
      <c r="N405" s="14">
        <v>43587</v>
      </c>
      <c r="P405" t="s">
        <v>2237</v>
      </c>
      <c r="Q405" t="s">
        <v>98</v>
      </c>
      <c r="R405" t="s">
        <v>99</v>
      </c>
      <c r="S405" t="s">
        <v>100</v>
      </c>
      <c r="T405" t="s">
        <v>101</v>
      </c>
      <c r="U405" t="s">
        <v>42</v>
      </c>
      <c r="V405" s="6" t="s">
        <v>3047</v>
      </c>
      <c r="W405" t="s">
        <v>102</v>
      </c>
      <c r="X405" t="str">
        <f>"402-488-1666"</f>
        <v>402-488-1666</v>
      </c>
      <c r="Y405" t="s">
        <v>21</v>
      </c>
      <c r="Z405" t="s">
        <v>103</v>
      </c>
    </row>
    <row r="406" spans="1:26" x14ac:dyDescent="0.25">
      <c r="A406" t="str">
        <f>"90-50"</f>
        <v>90-50</v>
      </c>
      <c r="C406" t="s">
        <v>2650</v>
      </c>
      <c r="D406" t="s">
        <v>1799</v>
      </c>
      <c r="E406" t="s">
        <v>3110</v>
      </c>
      <c r="F406" t="s">
        <v>92</v>
      </c>
      <c r="G406" t="s">
        <v>107</v>
      </c>
      <c r="H406" t="s">
        <v>108</v>
      </c>
      <c r="I406" t="str">
        <f>"515-313-7306"</f>
        <v>515-313-7306</v>
      </c>
      <c r="J406" s="11">
        <v>4</v>
      </c>
      <c r="K406" s="11">
        <v>16</v>
      </c>
      <c r="L406" s="11">
        <v>16</v>
      </c>
      <c r="M406" s="11" t="s">
        <v>3051</v>
      </c>
      <c r="N406" s="14">
        <v>43691</v>
      </c>
      <c r="P406" t="s">
        <v>1800</v>
      </c>
      <c r="Q406" t="s">
        <v>1801</v>
      </c>
      <c r="R406" t="s">
        <v>1802</v>
      </c>
      <c r="S406" t="s">
        <v>1803</v>
      </c>
      <c r="T406" t="s">
        <v>803</v>
      </c>
      <c r="U406" t="s">
        <v>237</v>
      </c>
      <c r="V406" s="6" t="s">
        <v>3024</v>
      </c>
      <c r="W406" t="s">
        <v>1804</v>
      </c>
      <c r="X406" t="str">
        <f>"816-612-8180"</f>
        <v>816-612-8180</v>
      </c>
      <c r="Z406" t="s">
        <v>116</v>
      </c>
    </row>
    <row r="407" spans="1:26" x14ac:dyDescent="0.25">
      <c r="A407" t="s">
        <v>883</v>
      </c>
      <c r="B407" t="s">
        <v>884</v>
      </c>
      <c r="C407" t="s">
        <v>2449</v>
      </c>
      <c r="D407" t="s">
        <v>885</v>
      </c>
      <c r="E407" t="s">
        <v>3111</v>
      </c>
      <c r="F407" t="s">
        <v>886</v>
      </c>
      <c r="G407" t="s">
        <v>887</v>
      </c>
      <c r="H407" t="s">
        <v>888</v>
      </c>
      <c r="I407" t="str">
        <f>"319-385-1473"</f>
        <v>319-385-1473</v>
      </c>
      <c r="J407" s="11">
        <v>0</v>
      </c>
      <c r="K407" s="11">
        <v>5</v>
      </c>
      <c r="L407" s="11">
        <v>5</v>
      </c>
      <c r="M407" s="11" t="s">
        <v>3049</v>
      </c>
      <c r="N407" s="14">
        <v>44035</v>
      </c>
      <c r="P407" t="s">
        <v>889</v>
      </c>
      <c r="Q407" t="s">
        <v>889</v>
      </c>
      <c r="R407" t="s">
        <v>890</v>
      </c>
      <c r="T407" t="s">
        <v>487</v>
      </c>
      <c r="U407" t="s">
        <v>18</v>
      </c>
      <c r="V407" s="6" t="s">
        <v>2932</v>
      </c>
      <c r="W407" t="s">
        <v>891</v>
      </c>
      <c r="X407" t="str">
        <f>"319-594-8382"</f>
        <v>319-594-8382</v>
      </c>
      <c r="Y407" t="s">
        <v>33</v>
      </c>
      <c r="Z407" t="s">
        <v>62</v>
      </c>
    </row>
    <row r="408" spans="1:26" x14ac:dyDescent="0.25">
      <c r="A408" t="s">
        <v>892</v>
      </c>
      <c r="B408" t="s">
        <v>884</v>
      </c>
      <c r="C408" t="s">
        <v>2450</v>
      </c>
      <c r="D408" t="s">
        <v>893</v>
      </c>
      <c r="E408" t="s">
        <v>3111</v>
      </c>
      <c r="F408" t="s">
        <v>886</v>
      </c>
      <c r="G408" t="s">
        <v>887</v>
      </c>
      <c r="H408" t="s">
        <v>888</v>
      </c>
      <c r="I408" t="str">
        <f>"319-385-1473"</f>
        <v>319-385-1473</v>
      </c>
      <c r="J408" s="11">
        <v>0</v>
      </c>
      <c r="K408" s="11">
        <v>4</v>
      </c>
      <c r="L408" s="11">
        <v>4</v>
      </c>
      <c r="M408" s="11" t="s">
        <v>3049</v>
      </c>
      <c r="N408" s="14">
        <v>44035</v>
      </c>
      <c r="P408" t="s">
        <v>894</v>
      </c>
      <c r="Q408" t="s">
        <v>894</v>
      </c>
      <c r="R408" t="s">
        <v>893</v>
      </c>
      <c r="T408" t="s">
        <v>895</v>
      </c>
      <c r="U408" t="s">
        <v>18</v>
      </c>
      <c r="V408" s="6" t="s">
        <v>2958</v>
      </c>
      <c r="W408" t="s">
        <v>896</v>
      </c>
      <c r="X408" t="str">
        <f>"319-385-7472"</f>
        <v>319-385-7472</v>
      </c>
      <c r="Y408" t="s">
        <v>33</v>
      </c>
      <c r="Z408" t="s">
        <v>62</v>
      </c>
    </row>
    <row r="409" spans="1:26" x14ac:dyDescent="0.25">
      <c r="A409" t="str">
        <f>"10-10-267"</f>
        <v>10-10-267</v>
      </c>
      <c r="C409" t="s">
        <v>2517</v>
      </c>
      <c r="D409" t="s">
        <v>1209</v>
      </c>
      <c r="E409" t="s">
        <v>3111</v>
      </c>
      <c r="F409" t="s">
        <v>886</v>
      </c>
      <c r="G409" t="s">
        <v>107</v>
      </c>
      <c r="H409" t="s">
        <v>108</v>
      </c>
      <c r="I409" t="str">
        <f>"515-313-7306"</f>
        <v>515-313-7306</v>
      </c>
      <c r="J409" s="11">
        <v>4</v>
      </c>
      <c r="K409" s="11">
        <v>24</v>
      </c>
      <c r="L409" s="11">
        <v>24</v>
      </c>
      <c r="M409" s="11" t="s">
        <v>3050</v>
      </c>
      <c r="N409" s="14">
        <v>43629</v>
      </c>
      <c r="P409" t="s">
        <v>1210</v>
      </c>
      <c r="Q409" t="s">
        <v>145</v>
      </c>
      <c r="R409" t="s">
        <v>187</v>
      </c>
      <c r="T409" t="s">
        <v>60</v>
      </c>
      <c r="U409" t="s">
        <v>18</v>
      </c>
      <c r="V409" s="6" t="s">
        <v>2899</v>
      </c>
      <c r="W409" t="s">
        <v>148</v>
      </c>
      <c r="X409" t="str">
        <f>"712-580-5360"</f>
        <v>712-580-5360</v>
      </c>
      <c r="Y409" t="s">
        <v>151</v>
      </c>
      <c r="Z409" t="s">
        <v>116</v>
      </c>
    </row>
    <row r="410" spans="1:26" x14ac:dyDescent="0.25">
      <c r="A410" t="s">
        <v>1238</v>
      </c>
      <c r="B410" t="s">
        <v>1238</v>
      </c>
      <c r="C410" t="s">
        <v>2450</v>
      </c>
      <c r="D410" t="s">
        <v>1239</v>
      </c>
      <c r="E410" t="s">
        <v>3111</v>
      </c>
      <c r="F410" t="s">
        <v>886</v>
      </c>
      <c r="G410" t="s">
        <v>887</v>
      </c>
      <c r="H410" t="s">
        <v>888</v>
      </c>
      <c r="I410" t="str">
        <f>"319-385-1473"</f>
        <v>319-385-1473</v>
      </c>
      <c r="J410" s="11">
        <v>0</v>
      </c>
      <c r="K410" s="11">
        <v>3</v>
      </c>
      <c r="L410" s="11">
        <v>3</v>
      </c>
      <c r="M410" s="11" t="s">
        <v>3050</v>
      </c>
      <c r="N410" s="14">
        <v>43677</v>
      </c>
      <c r="P410" t="s">
        <v>1240</v>
      </c>
      <c r="Q410" t="s">
        <v>1240</v>
      </c>
      <c r="R410" t="s">
        <v>1239</v>
      </c>
      <c r="T410" t="s">
        <v>895</v>
      </c>
      <c r="U410" t="s">
        <v>18</v>
      </c>
      <c r="V410" s="6" t="s">
        <v>2958</v>
      </c>
      <c r="W410" t="s">
        <v>1241</v>
      </c>
      <c r="X410" t="str">
        <f>"319-385-3522"</f>
        <v>319-385-3522</v>
      </c>
      <c r="Y410" t="s">
        <v>33</v>
      </c>
      <c r="Z410" t="s">
        <v>62</v>
      </c>
    </row>
    <row r="411" spans="1:26" x14ac:dyDescent="0.25">
      <c r="A411" t="str">
        <f>"96-64"</f>
        <v>96-64</v>
      </c>
      <c r="B411" t="s">
        <v>2092</v>
      </c>
      <c r="C411" t="s">
        <v>2720</v>
      </c>
      <c r="D411" t="s">
        <v>2093</v>
      </c>
      <c r="E411" t="s">
        <v>3111</v>
      </c>
      <c r="F411" t="s">
        <v>886</v>
      </c>
      <c r="G411" t="s">
        <v>107</v>
      </c>
      <c r="H411" t="s">
        <v>108</v>
      </c>
      <c r="I411" t="str">
        <f>"515-313-7306"</f>
        <v>515-313-7306</v>
      </c>
      <c r="J411" s="11">
        <v>4</v>
      </c>
      <c r="K411" s="11">
        <v>32</v>
      </c>
      <c r="L411" s="11">
        <v>32</v>
      </c>
      <c r="M411" s="11" t="s">
        <v>3051</v>
      </c>
      <c r="N411" s="14">
        <v>43489</v>
      </c>
      <c r="P411" t="s">
        <v>2094</v>
      </c>
      <c r="Q411" t="s">
        <v>110</v>
      </c>
      <c r="R411" t="s">
        <v>111</v>
      </c>
      <c r="S411" t="s">
        <v>112</v>
      </c>
      <c r="T411" t="s">
        <v>113</v>
      </c>
      <c r="U411" t="s">
        <v>114</v>
      </c>
      <c r="V411" s="6" t="s">
        <v>2892</v>
      </c>
      <c r="W411" t="s">
        <v>115</v>
      </c>
      <c r="X411" t="str">
        <f>"602-200-5660"</f>
        <v>602-200-5660</v>
      </c>
      <c r="Y411" t="s">
        <v>21</v>
      </c>
      <c r="Z411" t="s">
        <v>116</v>
      </c>
    </row>
    <row r="412" spans="1:26" x14ac:dyDescent="0.25">
      <c r="A412" t="str">
        <f>"97-63"</f>
        <v>97-63</v>
      </c>
      <c r="B412" t="s">
        <v>2142</v>
      </c>
      <c r="C412" t="s">
        <v>2828</v>
      </c>
      <c r="D412" t="s">
        <v>2143</v>
      </c>
      <c r="E412" t="s">
        <v>3111</v>
      </c>
      <c r="F412" t="s">
        <v>886</v>
      </c>
      <c r="G412" t="s">
        <v>107</v>
      </c>
      <c r="H412" t="s">
        <v>108</v>
      </c>
      <c r="I412" t="str">
        <f>"515-313-7306"</f>
        <v>515-313-7306</v>
      </c>
      <c r="J412" s="11">
        <v>3</v>
      </c>
      <c r="K412" s="11">
        <v>24</v>
      </c>
      <c r="L412" s="11">
        <v>24</v>
      </c>
      <c r="M412" s="11" t="s">
        <v>3051</v>
      </c>
      <c r="N412" s="14">
        <v>42766</v>
      </c>
      <c r="P412" t="s">
        <v>2094</v>
      </c>
      <c r="Q412" t="s">
        <v>110</v>
      </c>
      <c r="R412" t="s">
        <v>111</v>
      </c>
      <c r="S412" t="s">
        <v>112</v>
      </c>
      <c r="T412" t="s">
        <v>113</v>
      </c>
      <c r="U412" t="s">
        <v>114</v>
      </c>
      <c r="V412" s="6" t="s">
        <v>2892</v>
      </c>
      <c r="W412" t="s">
        <v>115</v>
      </c>
      <c r="X412" t="str">
        <f>"602-200-5660"</f>
        <v>602-200-5660</v>
      </c>
      <c r="Y412" t="s">
        <v>21</v>
      </c>
      <c r="Z412" t="s">
        <v>116</v>
      </c>
    </row>
    <row r="413" spans="1:26" x14ac:dyDescent="0.25">
      <c r="A413" t="str">
        <f>"04-42"</f>
        <v>04-42</v>
      </c>
      <c r="B413" t="s">
        <v>513</v>
      </c>
      <c r="C413" t="s">
        <v>2384</v>
      </c>
      <c r="D413" t="s">
        <v>514</v>
      </c>
      <c r="E413" t="s">
        <v>3112</v>
      </c>
      <c r="F413" t="s">
        <v>149</v>
      </c>
      <c r="G413" t="s">
        <v>55</v>
      </c>
      <c r="H413" t="s">
        <v>56</v>
      </c>
      <c r="I413" t="str">
        <f>"712-262-5965"</f>
        <v>712-262-5965</v>
      </c>
      <c r="J413" s="11">
        <v>1</v>
      </c>
      <c r="K413" s="11">
        <v>18</v>
      </c>
      <c r="L413" s="11">
        <v>18</v>
      </c>
      <c r="M413" s="11" t="s">
        <v>3049</v>
      </c>
      <c r="N413" s="14">
        <v>43675</v>
      </c>
      <c r="P413" t="s">
        <v>515</v>
      </c>
      <c r="Q413" t="s">
        <v>58</v>
      </c>
      <c r="R413" t="s">
        <v>59</v>
      </c>
      <c r="T413" t="s">
        <v>60</v>
      </c>
      <c r="U413" t="s">
        <v>18</v>
      </c>
      <c r="V413" s="6" t="s">
        <v>2888</v>
      </c>
      <c r="W413" t="s">
        <v>61</v>
      </c>
      <c r="X413" t="str">
        <f>"515-262-5965"</f>
        <v>515-262-5965</v>
      </c>
      <c r="Y413" t="s">
        <v>21</v>
      </c>
      <c r="Z413" t="s">
        <v>62</v>
      </c>
    </row>
    <row r="414" spans="1:26" x14ac:dyDescent="0.25">
      <c r="A414" t="str">
        <f>"00-15"</f>
        <v>00-15</v>
      </c>
      <c r="B414" t="s">
        <v>52</v>
      </c>
      <c r="C414" t="s">
        <v>2322</v>
      </c>
      <c r="D414" t="s">
        <v>53</v>
      </c>
      <c r="E414" t="s">
        <v>3113</v>
      </c>
      <c r="F414" t="s">
        <v>54</v>
      </c>
      <c r="G414" t="s">
        <v>55</v>
      </c>
      <c r="H414" t="s">
        <v>56</v>
      </c>
      <c r="I414" t="str">
        <f>"712-262-5965"</f>
        <v>712-262-5965</v>
      </c>
      <c r="J414" s="11">
        <v>2</v>
      </c>
      <c r="K414" s="11">
        <v>12</v>
      </c>
      <c r="L414" s="11">
        <v>12</v>
      </c>
      <c r="M414" s="11" t="s">
        <v>3049</v>
      </c>
      <c r="N414" s="14">
        <v>43640</v>
      </c>
      <c r="P414" t="s">
        <v>57</v>
      </c>
      <c r="Q414" t="s">
        <v>58</v>
      </c>
      <c r="R414" t="s">
        <v>59</v>
      </c>
      <c r="T414" t="s">
        <v>60</v>
      </c>
      <c r="U414" t="s">
        <v>18</v>
      </c>
      <c r="V414" s="6" t="s">
        <v>2888</v>
      </c>
      <c r="W414" t="s">
        <v>61</v>
      </c>
      <c r="X414" t="str">
        <f>"515-262-5996"</f>
        <v>515-262-5996</v>
      </c>
      <c r="Y414" t="s">
        <v>21</v>
      </c>
      <c r="Z414" t="s">
        <v>62</v>
      </c>
    </row>
    <row r="415" spans="1:26" x14ac:dyDescent="0.25">
      <c r="A415" t="str">
        <f>"04-27"</f>
        <v>04-27</v>
      </c>
      <c r="C415" t="s">
        <v>2378</v>
      </c>
      <c r="D415" t="s">
        <v>486</v>
      </c>
      <c r="E415" t="s">
        <v>487</v>
      </c>
      <c r="F415" t="s">
        <v>487</v>
      </c>
      <c r="G415" t="s">
        <v>488</v>
      </c>
      <c r="H415" t="s">
        <v>489</v>
      </c>
      <c r="I415" t="str">
        <f>"515-243-8300"</f>
        <v>515-243-8300</v>
      </c>
      <c r="J415" s="11">
        <v>13</v>
      </c>
      <c r="K415" s="11">
        <v>72</v>
      </c>
      <c r="L415" s="11">
        <v>72</v>
      </c>
      <c r="M415" s="11" t="s">
        <v>3051</v>
      </c>
      <c r="N415" s="14">
        <v>44132</v>
      </c>
      <c r="P415" t="s">
        <v>490</v>
      </c>
      <c r="Q415" t="s">
        <v>489</v>
      </c>
      <c r="R415" t="s">
        <v>491</v>
      </c>
      <c r="T415" t="s">
        <v>60</v>
      </c>
      <c r="U415" t="s">
        <v>18</v>
      </c>
      <c r="V415" s="6" t="s">
        <v>2893</v>
      </c>
      <c r="W415" t="s">
        <v>492</v>
      </c>
      <c r="X415" t="str">
        <f>"515-243-8300"</f>
        <v>515-243-8300</v>
      </c>
      <c r="Y415" t="s">
        <v>151</v>
      </c>
      <c r="Z415" t="s">
        <v>44</v>
      </c>
    </row>
    <row r="416" spans="1:26" x14ac:dyDescent="0.25">
      <c r="A416" t="str">
        <f>"05-17"</f>
        <v>05-17</v>
      </c>
      <c r="C416" t="s">
        <v>2395</v>
      </c>
      <c r="D416" t="s">
        <v>576</v>
      </c>
      <c r="E416" t="s">
        <v>487</v>
      </c>
      <c r="F416" t="s">
        <v>487</v>
      </c>
      <c r="G416" t="s">
        <v>12</v>
      </c>
      <c r="H416" t="s">
        <v>13</v>
      </c>
      <c r="I416" t="str">
        <f>"608-348-7755"</f>
        <v>608-348-7755</v>
      </c>
      <c r="J416" s="11">
        <v>2</v>
      </c>
      <c r="K416" s="11">
        <v>20</v>
      </c>
      <c r="L416" s="11">
        <v>20</v>
      </c>
      <c r="M416" s="11" t="s">
        <v>3051</v>
      </c>
      <c r="N416" s="14">
        <v>44180</v>
      </c>
      <c r="P416" t="s">
        <v>577</v>
      </c>
      <c r="Q416" t="s">
        <v>47</v>
      </c>
      <c r="R416" t="s">
        <v>48</v>
      </c>
      <c r="T416" t="s">
        <v>49</v>
      </c>
      <c r="U416" t="s">
        <v>50</v>
      </c>
      <c r="V416" s="6" t="s">
        <v>2887</v>
      </c>
      <c r="W416" t="s">
        <v>51</v>
      </c>
      <c r="X416" t="str">
        <f>"800-333-3509"</f>
        <v>800-333-3509</v>
      </c>
      <c r="Y416" t="s">
        <v>151</v>
      </c>
      <c r="Z416" t="s">
        <v>20</v>
      </c>
    </row>
    <row r="417" spans="1:26" x14ac:dyDescent="0.25">
      <c r="A417" t="str">
        <f>"05-19"</f>
        <v>05-19</v>
      </c>
      <c r="B417" t="s">
        <v>582</v>
      </c>
      <c r="C417" t="s">
        <v>2397</v>
      </c>
      <c r="D417" t="s">
        <v>583</v>
      </c>
      <c r="E417" t="s">
        <v>487</v>
      </c>
      <c r="F417" t="s">
        <v>487</v>
      </c>
      <c r="G417" t="s">
        <v>78</v>
      </c>
      <c r="H417" t="s">
        <v>79</v>
      </c>
      <c r="I417" t="str">
        <f>"515-225-4782"</f>
        <v>515-225-4782</v>
      </c>
      <c r="J417" s="11">
        <v>1</v>
      </c>
      <c r="K417" s="11">
        <v>22</v>
      </c>
      <c r="L417" s="11">
        <v>22</v>
      </c>
      <c r="M417" s="11" t="s">
        <v>3049</v>
      </c>
      <c r="N417" s="14">
        <v>43803</v>
      </c>
      <c r="P417" t="s">
        <v>584</v>
      </c>
      <c r="Q417" t="s">
        <v>585</v>
      </c>
      <c r="R417" t="s">
        <v>586</v>
      </c>
      <c r="T417" t="s">
        <v>487</v>
      </c>
      <c r="U417" t="s">
        <v>18</v>
      </c>
      <c r="V417" s="6" t="s">
        <v>2932</v>
      </c>
      <c r="W417" t="s">
        <v>587</v>
      </c>
      <c r="X417" t="str">
        <f>"563-263-6900"</f>
        <v>563-263-6900</v>
      </c>
      <c r="Y417" t="s">
        <v>21</v>
      </c>
      <c r="Z417" t="s">
        <v>62</v>
      </c>
    </row>
    <row r="418" spans="1:26" x14ac:dyDescent="0.25">
      <c r="A418" t="str">
        <f>"16-14"</f>
        <v>16-14</v>
      </c>
      <c r="C418" t="s">
        <v>2612</v>
      </c>
      <c r="D418" t="s">
        <v>1651</v>
      </c>
      <c r="E418" t="s">
        <v>487</v>
      </c>
      <c r="F418" t="s">
        <v>487</v>
      </c>
      <c r="G418" t="s">
        <v>1153</v>
      </c>
      <c r="H418" t="s">
        <v>1154</v>
      </c>
      <c r="I418" t="str">
        <f>"513-964-1151"</f>
        <v>513-964-1151</v>
      </c>
      <c r="J418" s="11">
        <v>1</v>
      </c>
      <c r="K418" s="11">
        <v>52</v>
      </c>
      <c r="L418" s="11">
        <v>52</v>
      </c>
      <c r="M418" s="11" t="s">
        <v>3050</v>
      </c>
      <c r="N418" s="14">
        <v>43550</v>
      </c>
      <c r="P418" t="s">
        <v>1652</v>
      </c>
      <c r="Q418" t="s">
        <v>1156</v>
      </c>
      <c r="R418" t="s">
        <v>1157</v>
      </c>
      <c r="S418" t="s">
        <v>1158</v>
      </c>
      <c r="T418" t="s">
        <v>1159</v>
      </c>
      <c r="U418" t="s">
        <v>1160</v>
      </c>
      <c r="V418" s="6" t="s">
        <v>2973</v>
      </c>
      <c r="W418" t="s">
        <v>1161</v>
      </c>
      <c r="X418" t="str">
        <f>"513-964-1140"</f>
        <v>513-964-1140</v>
      </c>
      <c r="Y418" t="s">
        <v>21</v>
      </c>
      <c r="Z418" t="s">
        <v>103</v>
      </c>
    </row>
    <row r="419" spans="1:26" x14ac:dyDescent="0.25">
      <c r="A419" t="str">
        <f>"97-15"</f>
        <v>97-15</v>
      </c>
      <c r="B419" t="s">
        <v>2114</v>
      </c>
      <c r="C419" t="s">
        <v>2726</v>
      </c>
      <c r="D419" t="s">
        <v>2115</v>
      </c>
      <c r="E419" t="s">
        <v>487</v>
      </c>
      <c r="F419" t="s">
        <v>487</v>
      </c>
      <c r="G419" t="s">
        <v>78</v>
      </c>
      <c r="H419" t="s">
        <v>79</v>
      </c>
      <c r="I419" t="str">
        <f>"515-225-4782"</f>
        <v>515-225-4782</v>
      </c>
      <c r="J419" s="11">
        <v>3</v>
      </c>
      <c r="K419" s="11">
        <v>12</v>
      </c>
      <c r="L419" s="11">
        <v>12</v>
      </c>
      <c r="M419" s="11" t="s">
        <v>3051</v>
      </c>
      <c r="N419" s="14">
        <v>43071</v>
      </c>
      <c r="P419" t="s">
        <v>2116</v>
      </c>
      <c r="Q419" t="s">
        <v>585</v>
      </c>
      <c r="R419" t="s">
        <v>586</v>
      </c>
      <c r="T419" t="s">
        <v>487</v>
      </c>
      <c r="U419" t="s">
        <v>18</v>
      </c>
      <c r="V419" s="6" t="s">
        <v>2932</v>
      </c>
      <c r="W419" t="s">
        <v>587</v>
      </c>
      <c r="X419" t="str">
        <f>"563-263-6900"</f>
        <v>563-263-6900</v>
      </c>
      <c r="Y419" t="s">
        <v>21</v>
      </c>
      <c r="Z419" t="s">
        <v>62</v>
      </c>
    </row>
    <row r="420" spans="1:26" x14ac:dyDescent="0.25">
      <c r="A420" t="str">
        <f>"99-24"</f>
        <v>99-24</v>
      </c>
      <c r="C420" t="s">
        <v>2768</v>
      </c>
      <c r="D420" t="s">
        <v>2258</v>
      </c>
      <c r="E420" t="s">
        <v>487</v>
      </c>
      <c r="F420" t="s">
        <v>487</v>
      </c>
      <c r="G420" t="s">
        <v>12</v>
      </c>
      <c r="H420" t="s">
        <v>13</v>
      </c>
      <c r="I420" t="str">
        <f>"608-348-7755"</f>
        <v>608-348-7755</v>
      </c>
      <c r="J420" s="11">
        <v>12</v>
      </c>
      <c r="K420" s="11">
        <v>48</v>
      </c>
      <c r="L420" s="11">
        <v>48</v>
      </c>
      <c r="M420" s="11" t="s">
        <v>3051</v>
      </c>
      <c r="N420" s="14">
        <v>43803</v>
      </c>
      <c r="P420" t="s">
        <v>2259</v>
      </c>
      <c r="Q420" t="s">
        <v>15</v>
      </c>
      <c r="R420" t="s">
        <v>16</v>
      </c>
      <c r="T420" t="s">
        <v>17</v>
      </c>
      <c r="U420" t="s">
        <v>18</v>
      </c>
      <c r="V420" s="6" t="s">
        <v>2931</v>
      </c>
      <c r="W420" t="s">
        <v>19</v>
      </c>
      <c r="X420" t="str">
        <f>"608-348-7755"</f>
        <v>608-348-7755</v>
      </c>
      <c r="Y420" t="s">
        <v>21</v>
      </c>
      <c r="Z420" t="s">
        <v>20</v>
      </c>
    </row>
    <row r="421" spans="1:26" x14ac:dyDescent="0.25">
      <c r="A421" t="str">
        <f>"09-0959"</f>
        <v>09-0959</v>
      </c>
      <c r="B421" t="s">
        <v>1093</v>
      </c>
      <c r="C421" t="s">
        <v>2493</v>
      </c>
      <c r="D421" t="s">
        <v>1094</v>
      </c>
      <c r="E421" t="s">
        <v>3114</v>
      </c>
      <c r="F421" t="s">
        <v>351</v>
      </c>
      <c r="G421" t="s">
        <v>383</v>
      </c>
      <c r="H421" t="s">
        <v>384</v>
      </c>
      <c r="I421" t="str">
        <f>"563-359-1075"</f>
        <v>563-359-1075</v>
      </c>
      <c r="J421" s="11">
        <v>1</v>
      </c>
      <c r="K421" s="11">
        <v>49</v>
      </c>
      <c r="L421" s="11">
        <v>48</v>
      </c>
      <c r="M421" s="11" t="s">
        <v>3149</v>
      </c>
      <c r="N421" s="14">
        <v>44074</v>
      </c>
      <c r="P421" t="s">
        <v>1095</v>
      </c>
      <c r="Q421" t="s">
        <v>386</v>
      </c>
      <c r="R421" t="s">
        <v>387</v>
      </c>
      <c r="T421" t="s">
        <v>388</v>
      </c>
      <c r="U421" t="s">
        <v>300</v>
      </c>
      <c r="V421" s="6" t="s">
        <v>2917</v>
      </c>
      <c r="W421" t="s">
        <v>776</v>
      </c>
      <c r="X421" t="str">
        <f>"414-395-4980"</f>
        <v>414-395-4980</v>
      </c>
      <c r="Y421" t="s">
        <v>151</v>
      </c>
      <c r="Z421" t="s">
        <v>116</v>
      </c>
    </row>
    <row r="422" spans="1:26" x14ac:dyDescent="0.25">
      <c r="A422" t="str">
        <f>"10-10-268"</f>
        <v>10-10-268</v>
      </c>
      <c r="C422" t="s">
        <v>2518</v>
      </c>
      <c r="D422" t="s">
        <v>1211</v>
      </c>
      <c r="E422" t="s">
        <v>3114</v>
      </c>
      <c r="F422" t="s">
        <v>351</v>
      </c>
      <c r="G422" t="s">
        <v>107</v>
      </c>
      <c r="H422" t="s">
        <v>108</v>
      </c>
      <c r="I422" t="str">
        <f>"515-313-7306"</f>
        <v>515-313-7306</v>
      </c>
      <c r="J422" s="11">
        <v>6</v>
      </c>
      <c r="K422" s="11">
        <v>24</v>
      </c>
      <c r="L422" s="11">
        <v>24</v>
      </c>
      <c r="M422" s="11" t="s">
        <v>3050</v>
      </c>
      <c r="N422" s="14">
        <v>43685</v>
      </c>
      <c r="P422" t="s">
        <v>1212</v>
      </c>
      <c r="Q422" t="s">
        <v>1193</v>
      </c>
      <c r="R422" t="s">
        <v>1194</v>
      </c>
      <c r="T422" t="s">
        <v>1195</v>
      </c>
      <c r="U422" t="s">
        <v>1196</v>
      </c>
      <c r="V422" s="6" t="s">
        <v>2976</v>
      </c>
      <c r="W422" t="s">
        <v>1197</v>
      </c>
      <c r="X422" t="str">
        <f>"913-492-7800"</f>
        <v>913-492-7800</v>
      </c>
      <c r="Y422" t="s">
        <v>151</v>
      </c>
      <c r="Z422" t="s">
        <v>116</v>
      </c>
    </row>
    <row r="423" spans="1:26" x14ac:dyDescent="0.25">
      <c r="A423" t="str">
        <f>"10-10-228"</f>
        <v>10-10-228</v>
      </c>
      <c r="C423" t="s">
        <v>2501</v>
      </c>
      <c r="D423" t="s">
        <v>1141</v>
      </c>
      <c r="E423" t="s">
        <v>3115</v>
      </c>
      <c r="F423" t="s">
        <v>1142</v>
      </c>
      <c r="G423" t="s">
        <v>851</v>
      </c>
      <c r="H423" t="s">
        <v>852</v>
      </c>
      <c r="I423" t="str">
        <f>"515-490-9001"</f>
        <v>515-490-9001</v>
      </c>
      <c r="J423" s="11">
        <v>15</v>
      </c>
      <c r="K423" s="11">
        <v>59</v>
      </c>
      <c r="L423" s="11">
        <v>58</v>
      </c>
      <c r="M423" s="11" t="s">
        <v>3050</v>
      </c>
      <c r="N423" s="14">
        <v>43969</v>
      </c>
      <c r="P423" t="s">
        <v>1143</v>
      </c>
      <c r="Q423" t="s">
        <v>852</v>
      </c>
      <c r="R423" t="s">
        <v>998</v>
      </c>
      <c r="S423" t="s">
        <v>999</v>
      </c>
      <c r="T423" t="s">
        <v>17</v>
      </c>
      <c r="U423" t="s">
        <v>18</v>
      </c>
      <c r="V423" s="6" t="s">
        <v>2962</v>
      </c>
      <c r="W423" t="s">
        <v>1000</v>
      </c>
      <c r="X423" t="str">
        <f>"515-490-9001"</f>
        <v>515-490-9001</v>
      </c>
      <c r="Y423" t="s">
        <v>151</v>
      </c>
      <c r="Z423" t="s">
        <v>44</v>
      </c>
    </row>
    <row r="424" spans="1:26" x14ac:dyDescent="0.25">
      <c r="A424" t="str">
        <f>"13-13-33"</f>
        <v>13-13-33</v>
      </c>
      <c r="B424" t="s">
        <v>1453</v>
      </c>
      <c r="C424" t="s">
        <v>2572</v>
      </c>
      <c r="D424" t="s">
        <v>1454</v>
      </c>
      <c r="E424" t="s">
        <v>3115</v>
      </c>
      <c r="F424" t="s">
        <v>1142</v>
      </c>
      <c r="G424" t="s">
        <v>1153</v>
      </c>
      <c r="H424" t="s">
        <v>1154</v>
      </c>
      <c r="I424" t="str">
        <f>"513-964-1151"</f>
        <v>513-964-1151</v>
      </c>
      <c r="J424" s="11">
        <v>1</v>
      </c>
      <c r="K424" s="11">
        <v>53</v>
      </c>
      <c r="L424" s="11">
        <v>53</v>
      </c>
      <c r="M424" s="11" t="s">
        <v>3149</v>
      </c>
      <c r="N424" s="14">
        <v>44117</v>
      </c>
      <c r="P424" t="s">
        <v>1455</v>
      </c>
      <c r="Q424" t="s">
        <v>1156</v>
      </c>
      <c r="R424" t="s">
        <v>1157</v>
      </c>
      <c r="S424" t="s">
        <v>1158</v>
      </c>
      <c r="T424" t="s">
        <v>1159</v>
      </c>
      <c r="U424" t="s">
        <v>1160</v>
      </c>
      <c r="V424" s="6" t="s">
        <v>2973</v>
      </c>
      <c r="W424" t="s">
        <v>1161</v>
      </c>
      <c r="X424" t="str">
        <f>"513-964-1140"</f>
        <v>513-964-1140</v>
      </c>
      <c r="Y424" t="s">
        <v>21</v>
      </c>
      <c r="Z424" t="s">
        <v>103</v>
      </c>
    </row>
    <row r="425" spans="1:26" x14ac:dyDescent="0.25">
      <c r="A425" t="str">
        <f>"18-31"</f>
        <v>18-31</v>
      </c>
      <c r="C425" t="s">
        <v>2638</v>
      </c>
      <c r="D425" t="s">
        <v>1739</v>
      </c>
      <c r="E425" t="s">
        <v>3115</v>
      </c>
      <c r="F425" t="s">
        <v>1142</v>
      </c>
      <c r="G425" t="s">
        <v>288</v>
      </c>
      <c r="H425" t="s">
        <v>289</v>
      </c>
      <c r="I425" t="str">
        <f>"515-314-5481"</f>
        <v>515-314-5481</v>
      </c>
      <c r="J425" s="11">
        <v>1</v>
      </c>
      <c r="K425" s="11">
        <v>45</v>
      </c>
      <c r="L425" s="11">
        <v>36</v>
      </c>
      <c r="M425" s="11" t="s">
        <v>3050</v>
      </c>
      <c r="N425" s="15" t="s">
        <v>3158</v>
      </c>
      <c r="P425" t="s">
        <v>1740</v>
      </c>
      <c r="Q425" t="s">
        <v>1741</v>
      </c>
      <c r="R425" t="s">
        <v>291</v>
      </c>
      <c r="T425" t="s">
        <v>60</v>
      </c>
      <c r="U425" t="s">
        <v>18</v>
      </c>
      <c r="V425" s="6" t="s">
        <v>3019</v>
      </c>
      <c r="W425" t="s">
        <v>1742</v>
      </c>
      <c r="X425" t="str">
        <f>"515-208-5414"</f>
        <v>515-208-5414</v>
      </c>
      <c r="Y425" t="s">
        <v>151</v>
      </c>
      <c r="Z425" t="s">
        <v>116</v>
      </c>
    </row>
    <row r="426" spans="1:26" x14ac:dyDescent="0.25">
      <c r="A426" t="str">
        <f>"93-29"</f>
        <v>93-29</v>
      </c>
      <c r="C426" t="s">
        <v>2690</v>
      </c>
      <c r="D426" t="s">
        <v>1962</v>
      </c>
      <c r="E426" t="s">
        <v>3115</v>
      </c>
      <c r="F426" t="s">
        <v>1142</v>
      </c>
      <c r="G426" t="s">
        <v>107</v>
      </c>
      <c r="H426" t="s">
        <v>108</v>
      </c>
      <c r="I426" t="str">
        <f>"515-313-7306"</f>
        <v>515-313-7306</v>
      </c>
      <c r="J426" s="11">
        <v>4</v>
      </c>
      <c r="K426" s="11">
        <v>24</v>
      </c>
      <c r="L426" s="11">
        <v>24</v>
      </c>
      <c r="M426" s="11" t="s">
        <v>3051</v>
      </c>
      <c r="N426" s="14">
        <v>43629</v>
      </c>
      <c r="P426" t="s">
        <v>1963</v>
      </c>
      <c r="Q426" t="s">
        <v>145</v>
      </c>
      <c r="R426" t="s">
        <v>187</v>
      </c>
      <c r="T426" t="s">
        <v>60</v>
      </c>
      <c r="U426" t="s">
        <v>18</v>
      </c>
      <c r="V426" s="6" t="s">
        <v>2899</v>
      </c>
      <c r="W426" t="s">
        <v>148</v>
      </c>
      <c r="X426" t="str">
        <f>"712-580-5360"</f>
        <v>712-580-5360</v>
      </c>
      <c r="Z426" t="s">
        <v>116</v>
      </c>
    </row>
    <row r="427" spans="1:26" x14ac:dyDescent="0.25">
      <c r="A427" t="str">
        <f>"94-38"</f>
        <v>94-38</v>
      </c>
      <c r="C427" t="s">
        <v>2701</v>
      </c>
      <c r="D427" t="s">
        <v>2019</v>
      </c>
      <c r="E427" t="s">
        <v>3115</v>
      </c>
      <c r="F427" t="s">
        <v>1142</v>
      </c>
      <c r="G427" t="s">
        <v>447</v>
      </c>
      <c r="H427" t="s">
        <v>448</v>
      </c>
      <c r="I427" t="str">
        <f>"515-809-5400"</f>
        <v>515-809-5400</v>
      </c>
      <c r="J427" s="11">
        <v>11</v>
      </c>
      <c r="K427" s="11">
        <v>72</v>
      </c>
      <c r="L427" s="11">
        <v>72</v>
      </c>
      <c r="M427" s="11" t="s">
        <v>3051</v>
      </c>
      <c r="N427" s="14">
        <v>43663</v>
      </c>
      <c r="P427" t="s">
        <v>2020</v>
      </c>
      <c r="Q427" t="s">
        <v>450</v>
      </c>
      <c r="R427" t="s">
        <v>2001</v>
      </c>
      <c r="T427" t="s">
        <v>60</v>
      </c>
      <c r="U427" t="s">
        <v>18</v>
      </c>
      <c r="V427" s="6" t="s">
        <v>2944</v>
      </c>
      <c r="W427" t="s">
        <v>618</v>
      </c>
      <c r="X427" t="str">
        <f>"312-285-6335"</f>
        <v>312-285-6335</v>
      </c>
      <c r="Z427" t="s">
        <v>103</v>
      </c>
    </row>
    <row r="428" spans="1:26" x14ac:dyDescent="0.25">
      <c r="A428" t="str">
        <f>"97-14"</f>
        <v>97-14</v>
      </c>
      <c r="B428" t="s">
        <v>2111</v>
      </c>
      <c r="C428" t="s">
        <v>2725</v>
      </c>
      <c r="D428" t="s">
        <v>2112</v>
      </c>
      <c r="E428" t="s">
        <v>3115</v>
      </c>
      <c r="F428" t="s">
        <v>1142</v>
      </c>
      <c r="G428" t="s">
        <v>295</v>
      </c>
      <c r="H428" t="s">
        <v>296</v>
      </c>
      <c r="I428" t="str">
        <f>"262-790-4560"</f>
        <v>262-790-4560</v>
      </c>
      <c r="J428" s="11">
        <v>5</v>
      </c>
      <c r="K428" s="11">
        <v>54</v>
      </c>
      <c r="L428" s="11">
        <v>53</v>
      </c>
      <c r="M428" s="11" t="s">
        <v>3051</v>
      </c>
      <c r="N428" s="14">
        <v>43978</v>
      </c>
      <c r="P428" t="s">
        <v>2113</v>
      </c>
      <c r="Q428" t="s">
        <v>296</v>
      </c>
      <c r="R428" t="s">
        <v>298</v>
      </c>
      <c r="T428" t="s">
        <v>299</v>
      </c>
      <c r="U428" t="s">
        <v>300</v>
      </c>
      <c r="V428" s="6" t="s">
        <v>2909</v>
      </c>
      <c r="W428" t="s">
        <v>301</v>
      </c>
      <c r="X428" t="str">
        <f>"262-790-4560"</f>
        <v>262-790-4560</v>
      </c>
      <c r="Y428" t="s">
        <v>21</v>
      </c>
      <c r="Z428" t="s">
        <v>20</v>
      </c>
    </row>
    <row r="429" spans="1:26" x14ac:dyDescent="0.25">
      <c r="A429" t="str">
        <f>"98-24"</f>
        <v>98-24</v>
      </c>
      <c r="C429" t="s">
        <v>2747</v>
      </c>
      <c r="D429" t="s">
        <v>2185</v>
      </c>
      <c r="E429" t="s">
        <v>3115</v>
      </c>
      <c r="F429" t="s">
        <v>1142</v>
      </c>
      <c r="G429" t="s">
        <v>295</v>
      </c>
      <c r="H429" t="s">
        <v>296</v>
      </c>
      <c r="I429" t="str">
        <f>"262-790-4560"</f>
        <v>262-790-4560</v>
      </c>
      <c r="J429" s="11">
        <v>2</v>
      </c>
      <c r="K429" s="11">
        <v>40</v>
      </c>
      <c r="L429" s="11">
        <v>40</v>
      </c>
      <c r="M429" s="11" t="s">
        <v>3051</v>
      </c>
      <c r="N429" s="14">
        <v>43013</v>
      </c>
      <c r="P429" t="s">
        <v>2186</v>
      </c>
      <c r="Q429" t="s">
        <v>2184</v>
      </c>
      <c r="R429" t="s">
        <v>298</v>
      </c>
      <c r="T429" t="s">
        <v>299</v>
      </c>
      <c r="U429" t="s">
        <v>300</v>
      </c>
      <c r="V429" s="6" t="s">
        <v>3044</v>
      </c>
      <c r="W429" t="s">
        <v>301</v>
      </c>
      <c r="X429" t="str">
        <f>"262-790-4560"</f>
        <v>262-790-4560</v>
      </c>
      <c r="Z429" t="s">
        <v>20</v>
      </c>
    </row>
    <row r="430" spans="1:26" x14ac:dyDescent="0.25">
      <c r="A430" t="str">
        <f>"98-72"</f>
        <v>98-72</v>
      </c>
      <c r="B430" t="s">
        <v>2226</v>
      </c>
      <c r="C430" t="s">
        <v>2760</v>
      </c>
      <c r="D430" t="s">
        <v>2227</v>
      </c>
      <c r="E430" t="s">
        <v>3115</v>
      </c>
      <c r="F430" t="s">
        <v>1142</v>
      </c>
      <c r="G430" t="s">
        <v>95</v>
      </c>
      <c r="H430" t="s">
        <v>96</v>
      </c>
      <c r="I430" t="str">
        <f>"402-488-1666"</f>
        <v>402-488-1666</v>
      </c>
      <c r="J430" s="11">
        <v>2</v>
      </c>
      <c r="K430" s="11">
        <v>48</v>
      </c>
      <c r="L430" s="11">
        <v>24</v>
      </c>
      <c r="M430" s="11" t="s">
        <v>3051</v>
      </c>
      <c r="N430" s="14">
        <v>43711</v>
      </c>
      <c r="P430" t="s">
        <v>2228</v>
      </c>
      <c r="Q430" t="s">
        <v>98</v>
      </c>
      <c r="R430" t="s">
        <v>99</v>
      </c>
      <c r="S430" t="s">
        <v>100</v>
      </c>
      <c r="T430" t="s">
        <v>101</v>
      </c>
      <c r="U430" t="s">
        <v>42</v>
      </c>
      <c r="V430" s="6" t="s">
        <v>3047</v>
      </c>
      <c r="W430" t="s">
        <v>102</v>
      </c>
      <c r="X430" t="str">
        <f>"402-488-1666"</f>
        <v>402-488-1666</v>
      </c>
      <c r="Y430" t="s">
        <v>21</v>
      </c>
      <c r="Z430" t="s">
        <v>103</v>
      </c>
    </row>
    <row r="431" spans="1:26" x14ac:dyDescent="0.25">
      <c r="A431" t="str">
        <f>"03-45"</f>
        <v>03-45</v>
      </c>
      <c r="B431" t="s">
        <v>455</v>
      </c>
      <c r="C431" t="s">
        <v>2369</v>
      </c>
      <c r="D431" t="s">
        <v>456</v>
      </c>
      <c r="E431" t="s">
        <v>3116</v>
      </c>
      <c r="F431" t="s">
        <v>77</v>
      </c>
      <c r="G431" t="s">
        <v>78</v>
      </c>
      <c r="H431" t="s">
        <v>79</v>
      </c>
      <c r="I431" t="str">
        <f>"515-225-4782"</f>
        <v>515-225-4782</v>
      </c>
      <c r="J431" s="11">
        <v>4</v>
      </c>
      <c r="K431" s="11">
        <v>28</v>
      </c>
      <c r="L431" s="11">
        <v>28</v>
      </c>
      <c r="M431" s="11" t="s">
        <v>3149</v>
      </c>
      <c r="N431" s="14">
        <v>43983</v>
      </c>
      <c r="P431" t="s">
        <v>457</v>
      </c>
      <c r="Q431" t="s">
        <v>81</v>
      </c>
      <c r="R431" t="s">
        <v>82</v>
      </c>
      <c r="S431" t="s">
        <v>83</v>
      </c>
      <c r="T431" t="s">
        <v>84</v>
      </c>
      <c r="U431" t="s">
        <v>18</v>
      </c>
      <c r="V431" s="6" t="s">
        <v>2890</v>
      </c>
      <c r="W431" t="s">
        <v>85</v>
      </c>
      <c r="X431" t="str">
        <f>"319-338-7600"</f>
        <v>319-338-7600</v>
      </c>
      <c r="Y431" t="s">
        <v>21</v>
      </c>
      <c r="Z431" t="s">
        <v>62</v>
      </c>
    </row>
    <row r="432" spans="1:26" x14ac:dyDescent="0.25">
      <c r="A432" t="str">
        <f>"06-11"</f>
        <v>06-11</v>
      </c>
      <c r="B432" t="s">
        <v>690</v>
      </c>
      <c r="C432" t="s">
        <v>2419</v>
      </c>
      <c r="D432" t="s">
        <v>691</v>
      </c>
      <c r="E432" t="s">
        <v>3116</v>
      </c>
      <c r="F432" t="s">
        <v>77</v>
      </c>
      <c r="G432" t="s">
        <v>78</v>
      </c>
      <c r="H432" t="s">
        <v>79</v>
      </c>
      <c r="I432" t="str">
        <f>"515-225-4782"</f>
        <v>515-225-4782</v>
      </c>
      <c r="J432" s="11">
        <v>1</v>
      </c>
      <c r="K432" s="11">
        <v>30</v>
      </c>
      <c r="L432" s="11">
        <v>30</v>
      </c>
      <c r="M432" s="11" t="s">
        <v>3149</v>
      </c>
      <c r="N432" s="14">
        <v>43983</v>
      </c>
      <c r="P432" t="s">
        <v>692</v>
      </c>
      <c r="Q432" t="s">
        <v>81</v>
      </c>
      <c r="R432" t="s">
        <v>82</v>
      </c>
      <c r="S432" t="s">
        <v>83</v>
      </c>
      <c r="T432" t="s">
        <v>84</v>
      </c>
      <c r="U432" t="s">
        <v>18</v>
      </c>
      <c r="V432" s="6" t="s">
        <v>2890</v>
      </c>
      <c r="W432" t="s">
        <v>85</v>
      </c>
      <c r="X432" t="str">
        <f>"319-338-7600"</f>
        <v>319-338-7600</v>
      </c>
      <c r="Y432" t="s">
        <v>21</v>
      </c>
      <c r="Z432" t="s">
        <v>62</v>
      </c>
    </row>
    <row r="433" spans="1:26" x14ac:dyDescent="0.25">
      <c r="A433" t="str">
        <f>"07-18"</f>
        <v>07-18</v>
      </c>
      <c r="B433" t="s">
        <v>829</v>
      </c>
      <c r="C433" t="s">
        <v>2801</v>
      </c>
      <c r="D433" t="s">
        <v>691</v>
      </c>
      <c r="E433" t="s">
        <v>3116</v>
      </c>
      <c r="F433" t="s">
        <v>77</v>
      </c>
      <c r="G433" t="s">
        <v>78</v>
      </c>
      <c r="H433" t="s">
        <v>79</v>
      </c>
      <c r="I433" t="str">
        <f>"515-225-4782"</f>
        <v>515-225-4782</v>
      </c>
      <c r="J433" s="11">
        <v>1</v>
      </c>
      <c r="K433" s="11">
        <v>30</v>
      </c>
      <c r="L433" s="11">
        <v>30</v>
      </c>
      <c r="M433" s="11" t="s">
        <v>3149</v>
      </c>
      <c r="N433" s="14">
        <v>43983</v>
      </c>
      <c r="P433" t="s">
        <v>830</v>
      </c>
      <c r="Q433" t="s">
        <v>81</v>
      </c>
      <c r="R433" t="s">
        <v>82</v>
      </c>
      <c r="S433" t="s">
        <v>83</v>
      </c>
      <c r="T433" t="s">
        <v>84</v>
      </c>
      <c r="U433" t="s">
        <v>18</v>
      </c>
      <c r="V433" s="6" t="s">
        <v>2890</v>
      </c>
      <c r="W433" t="s">
        <v>85</v>
      </c>
      <c r="X433" t="str">
        <f>"319-338-7600"</f>
        <v>319-338-7600</v>
      </c>
      <c r="Y433" t="s">
        <v>21</v>
      </c>
      <c r="Z433" t="s">
        <v>62</v>
      </c>
    </row>
    <row r="434" spans="1:26" x14ac:dyDescent="0.25">
      <c r="A434" t="str">
        <f>"09-0943"</f>
        <v>09-0943</v>
      </c>
      <c r="C434" t="s">
        <v>2850</v>
      </c>
      <c r="D434" t="s">
        <v>1071</v>
      </c>
      <c r="E434" t="s">
        <v>3116</v>
      </c>
      <c r="F434" t="s">
        <v>77</v>
      </c>
      <c r="G434" t="s">
        <v>12</v>
      </c>
      <c r="H434" t="s">
        <v>13</v>
      </c>
      <c r="I434" t="str">
        <f>"608-348-7755"</f>
        <v>608-348-7755</v>
      </c>
      <c r="J434" s="11">
        <v>1</v>
      </c>
      <c r="K434" s="11">
        <v>80</v>
      </c>
      <c r="L434" s="11">
        <v>80</v>
      </c>
      <c r="M434" s="11" t="s">
        <v>3050</v>
      </c>
      <c r="N434" s="14">
        <v>44159</v>
      </c>
      <c r="P434" t="s">
        <v>1072</v>
      </c>
      <c r="Q434" t="s">
        <v>15</v>
      </c>
      <c r="R434" t="s">
        <v>16</v>
      </c>
      <c r="T434" t="s">
        <v>17</v>
      </c>
      <c r="U434" t="s">
        <v>18</v>
      </c>
      <c r="V434" s="6" t="s">
        <v>2931</v>
      </c>
      <c r="W434" t="s">
        <v>19</v>
      </c>
      <c r="X434" t="str">
        <f>"608-348-7755"</f>
        <v>608-348-7755</v>
      </c>
      <c r="Y434" t="s">
        <v>21</v>
      </c>
      <c r="Z434" t="s">
        <v>20</v>
      </c>
    </row>
    <row r="435" spans="1:26" x14ac:dyDescent="0.25">
      <c r="A435" t="str">
        <f>"18-02"</f>
        <v>18-02</v>
      </c>
      <c r="C435" t="s">
        <v>1730</v>
      </c>
      <c r="D435" t="s">
        <v>1731</v>
      </c>
      <c r="E435" t="s">
        <v>3116</v>
      </c>
      <c r="F435" t="s">
        <v>77</v>
      </c>
      <c r="G435" t="s">
        <v>55</v>
      </c>
      <c r="H435" t="s">
        <v>56</v>
      </c>
      <c r="I435" t="str">
        <f>"712-262-5965"</f>
        <v>712-262-5965</v>
      </c>
      <c r="J435" s="11">
        <v>4</v>
      </c>
      <c r="K435" s="11">
        <v>38</v>
      </c>
      <c r="L435" s="11">
        <v>37</v>
      </c>
      <c r="M435" s="11" t="s">
        <v>3050</v>
      </c>
      <c r="N435" s="15" t="s">
        <v>3158</v>
      </c>
      <c r="P435" t="s">
        <v>1732</v>
      </c>
      <c r="Q435" t="s">
        <v>58</v>
      </c>
      <c r="R435" t="s">
        <v>59</v>
      </c>
      <c r="T435" t="s">
        <v>60</v>
      </c>
      <c r="U435" t="s">
        <v>18</v>
      </c>
      <c r="V435" s="6" t="s">
        <v>3018</v>
      </c>
      <c r="W435" t="s">
        <v>61</v>
      </c>
      <c r="X435" t="str">
        <f>"515-262-5965"</f>
        <v>515-262-5965</v>
      </c>
      <c r="Y435" t="s">
        <v>151</v>
      </c>
      <c r="Z435" t="s">
        <v>62</v>
      </c>
    </row>
    <row r="436" spans="1:26" x14ac:dyDescent="0.25">
      <c r="A436" t="str">
        <f>"95-11"</f>
        <v>95-11</v>
      </c>
      <c r="B436" t="s">
        <v>2041</v>
      </c>
      <c r="C436" t="s">
        <v>2706</v>
      </c>
      <c r="D436" t="s">
        <v>2042</v>
      </c>
      <c r="E436" t="s">
        <v>3116</v>
      </c>
      <c r="F436" t="s">
        <v>77</v>
      </c>
      <c r="G436" t="s">
        <v>78</v>
      </c>
      <c r="H436" t="s">
        <v>79</v>
      </c>
      <c r="I436" t="str">
        <f>"515-225-4782"</f>
        <v>515-225-4782</v>
      </c>
      <c r="J436" s="11">
        <v>4</v>
      </c>
      <c r="K436" s="11">
        <v>24</v>
      </c>
      <c r="L436" s="11">
        <v>24</v>
      </c>
      <c r="M436" s="11" t="s">
        <v>3051</v>
      </c>
      <c r="N436" s="14">
        <v>42642</v>
      </c>
      <c r="P436" t="s">
        <v>2043</v>
      </c>
      <c r="Q436" t="s">
        <v>81</v>
      </c>
      <c r="R436" t="s">
        <v>82</v>
      </c>
      <c r="S436" t="s">
        <v>83</v>
      </c>
      <c r="T436" t="s">
        <v>84</v>
      </c>
      <c r="U436" t="s">
        <v>18</v>
      </c>
      <c r="V436" s="6" t="s">
        <v>2890</v>
      </c>
      <c r="W436" t="s">
        <v>85</v>
      </c>
      <c r="X436" t="str">
        <f>"319-338-7600"</f>
        <v>319-338-7600</v>
      </c>
      <c r="Y436" t="s">
        <v>21</v>
      </c>
      <c r="Z436" t="s">
        <v>62</v>
      </c>
    </row>
    <row r="437" spans="1:26" x14ac:dyDescent="0.25">
      <c r="A437" t="str">
        <f>"10-10-226"</f>
        <v>10-10-226</v>
      </c>
      <c r="C437" t="s">
        <v>2809</v>
      </c>
      <c r="D437" t="s">
        <v>1138</v>
      </c>
      <c r="E437" t="s">
        <v>3117</v>
      </c>
      <c r="F437" t="s">
        <v>1139</v>
      </c>
      <c r="G437" t="s">
        <v>107</v>
      </c>
      <c r="H437" t="s">
        <v>108</v>
      </c>
      <c r="I437" t="str">
        <f>"515-313-7306"</f>
        <v>515-313-7306</v>
      </c>
      <c r="J437" s="11">
        <v>6</v>
      </c>
      <c r="K437" s="11">
        <v>40</v>
      </c>
      <c r="L437" s="11">
        <v>40</v>
      </c>
      <c r="M437" s="11" t="s">
        <v>3050</v>
      </c>
      <c r="N437" s="14">
        <v>43648</v>
      </c>
      <c r="P437" t="s">
        <v>1140</v>
      </c>
      <c r="Q437" t="s">
        <v>145</v>
      </c>
      <c r="R437" t="s">
        <v>187</v>
      </c>
      <c r="T437" t="s">
        <v>60</v>
      </c>
      <c r="U437" t="s">
        <v>18</v>
      </c>
      <c r="V437" s="6" t="s">
        <v>2899</v>
      </c>
      <c r="W437" t="s">
        <v>148</v>
      </c>
      <c r="X437" t="str">
        <f>"712-580-5360"</f>
        <v>712-580-5360</v>
      </c>
      <c r="Y437" t="s">
        <v>151</v>
      </c>
      <c r="Z437" t="s">
        <v>116</v>
      </c>
    </row>
    <row r="438" spans="1:26" x14ac:dyDescent="0.25">
      <c r="A438" t="str">
        <f>"10-10-238"</f>
        <v>10-10-238</v>
      </c>
      <c r="C438" t="s">
        <v>2504</v>
      </c>
      <c r="D438" t="s">
        <v>1162</v>
      </c>
      <c r="E438" t="s">
        <v>3117</v>
      </c>
      <c r="F438" t="s">
        <v>1139</v>
      </c>
      <c r="G438" t="s">
        <v>524</v>
      </c>
      <c r="H438" t="s">
        <v>525</v>
      </c>
      <c r="I438" t="str">
        <f>"515-280-2071"</f>
        <v>515-280-2071</v>
      </c>
      <c r="J438" s="11">
        <v>2</v>
      </c>
      <c r="K438" s="11">
        <v>60</v>
      </c>
      <c r="L438" s="11">
        <v>60</v>
      </c>
      <c r="M438" s="11" t="s">
        <v>3050</v>
      </c>
      <c r="N438" s="14">
        <v>43783</v>
      </c>
      <c r="P438" t="s">
        <v>1163</v>
      </c>
      <c r="Q438" t="s">
        <v>527</v>
      </c>
      <c r="R438" t="s">
        <v>528</v>
      </c>
      <c r="T438" t="s">
        <v>17</v>
      </c>
      <c r="U438" t="s">
        <v>18</v>
      </c>
      <c r="V438" s="6" t="s">
        <v>2928</v>
      </c>
      <c r="W438" t="s">
        <v>529</v>
      </c>
      <c r="X438" t="str">
        <f>"515-280-2053"</f>
        <v>515-280-2053</v>
      </c>
      <c r="Y438" t="s">
        <v>21</v>
      </c>
      <c r="Z438" t="s">
        <v>116</v>
      </c>
    </row>
    <row r="439" spans="1:26" x14ac:dyDescent="0.25">
      <c r="A439" t="str">
        <f>"10-10-269"</f>
        <v>10-10-269</v>
      </c>
      <c r="C439" t="s">
        <v>2519</v>
      </c>
      <c r="D439" t="s">
        <v>1213</v>
      </c>
      <c r="E439" t="s">
        <v>3117</v>
      </c>
      <c r="F439" t="s">
        <v>1139</v>
      </c>
      <c r="G439" t="s">
        <v>107</v>
      </c>
      <c r="H439" t="s">
        <v>108</v>
      </c>
      <c r="I439" t="str">
        <f>"515-313-7306"</f>
        <v>515-313-7306</v>
      </c>
      <c r="J439" s="11">
        <v>14</v>
      </c>
      <c r="K439" s="11">
        <v>56</v>
      </c>
      <c r="L439" s="11">
        <v>56</v>
      </c>
      <c r="M439" s="11" t="s">
        <v>3050</v>
      </c>
      <c r="N439" s="14">
        <v>43720</v>
      </c>
      <c r="P439" t="s">
        <v>1214</v>
      </c>
      <c r="Q439" t="s">
        <v>1188</v>
      </c>
      <c r="R439" t="s">
        <v>1189</v>
      </c>
      <c r="T439" t="s">
        <v>17</v>
      </c>
      <c r="U439" t="s">
        <v>18</v>
      </c>
      <c r="V439" s="6" t="s">
        <v>2975</v>
      </c>
      <c r="W439" t="s">
        <v>1190</v>
      </c>
      <c r="X439" t="str">
        <f>"515-223-1113"</f>
        <v>515-223-1113</v>
      </c>
      <c r="Y439" t="s">
        <v>33</v>
      </c>
      <c r="Z439" t="s">
        <v>116</v>
      </c>
    </row>
    <row r="440" spans="1:26" x14ac:dyDescent="0.25">
      <c r="A440" t="str">
        <f>"90-29"</f>
        <v>90-29</v>
      </c>
      <c r="C440" t="s">
        <v>2646</v>
      </c>
      <c r="D440" t="s">
        <v>1782</v>
      </c>
      <c r="E440" t="s">
        <v>3117</v>
      </c>
      <c r="F440" t="s">
        <v>1139</v>
      </c>
      <c r="G440" t="s">
        <v>819</v>
      </c>
      <c r="H440" t="s">
        <v>820</v>
      </c>
      <c r="I440" t="str">
        <f>"515-689-8593"</f>
        <v>515-689-8593</v>
      </c>
      <c r="J440" s="11">
        <v>2</v>
      </c>
      <c r="K440" s="11">
        <v>16</v>
      </c>
      <c r="L440" s="11">
        <v>16</v>
      </c>
      <c r="M440" s="11" t="s">
        <v>3051</v>
      </c>
      <c r="N440" s="14">
        <v>43602</v>
      </c>
      <c r="P440" t="s">
        <v>1783</v>
      </c>
      <c r="Q440" t="s">
        <v>820</v>
      </c>
      <c r="R440" t="s">
        <v>822</v>
      </c>
      <c r="S440" t="s">
        <v>823</v>
      </c>
      <c r="T440" t="s">
        <v>824</v>
      </c>
      <c r="U440" t="s">
        <v>18</v>
      </c>
      <c r="V440" s="6" t="s">
        <v>2950</v>
      </c>
      <c r="W440" t="s">
        <v>2879</v>
      </c>
      <c r="X440" t="str">
        <f>"515-689-8593"</f>
        <v>515-689-8593</v>
      </c>
      <c r="Z440" t="s">
        <v>20</v>
      </c>
    </row>
    <row r="441" spans="1:26" x14ac:dyDescent="0.25">
      <c r="A441" t="str">
        <f>"97-64"</f>
        <v>97-64</v>
      </c>
      <c r="C441" t="s">
        <v>2735</v>
      </c>
      <c r="D441" t="s">
        <v>2144</v>
      </c>
      <c r="E441" t="s">
        <v>3118</v>
      </c>
      <c r="F441" t="s">
        <v>35</v>
      </c>
      <c r="G441" t="s">
        <v>142</v>
      </c>
      <c r="H441" t="s">
        <v>143</v>
      </c>
      <c r="I441" t="str">
        <f>"712-580-5360"</f>
        <v>712-580-5360</v>
      </c>
      <c r="J441" s="11">
        <v>2</v>
      </c>
      <c r="K441" s="11">
        <v>12</v>
      </c>
      <c r="L441" s="11">
        <v>12</v>
      </c>
      <c r="M441" s="11" t="s">
        <v>3051</v>
      </c>
      <c r="N441" s="14">
        <v>42969</v>
      </c>
      <c r="P441" t="s">
        <v>2145</v>
      </c>
      <c r="Q441" t="s">
        <v>145</v>
      </c>
      <c r="R441" t="s">
        <v>146</v>
      </c>
      <c r="T441" t="s">
        <v>147</v>
      </c>
      <c r="U441" t="s">
        <v>18</v>
      </c>
      <c r="V441" s="6" t="s">
        <v>2895</v>
      </c>
      <c r="W441" t="s">
        <v>148</v>
      </c>
      <c r="X441" t="str">
        <f>"712-240-2188"</f>
        <v>712-240-2188</v>
      </c>
      <c r="Z441" t="s">
        <v>116</v>
      </c>
    </row>
    <row r="442" spans="1:26" x14ac:dyDescent="0.25">
      <c r="A442" t="str">
        <f>"06-26"</f>
        <v>06-26</v>
      </c>
      <c r="C442" t="s">
        <v>2846</v>
      </c>
      <c r="D442" t="s">
        <v>731</v>
      </c>
      <c r="E442" t="s">
        <v>3119</v>
      </c>
      <c r="F442" t="s">
        <v>732</v>
      </c>
      <c r="G442" t="s">
        <v>722</v>
      </c>
      <c r="H442" t="s">
        <v>723</v>
      </c>
      <c r="I442" t="str">
        <f>"515-339-4423"</f>
        <v>515-339-4423</v>
      </c>
      <c r="J442" s="11">
        <v>1</v>
      </c>
      <c r="K442" s="11">
        <v>10</v>
      </c>
      <c r="L442" s="11">
        <v>9</v>
      </c>
      <c r="M442" s="11" t="s">
        <v>3050</v>
      </c>
      <c r="N442" s="14">
        <v>43300</v>
      </c>
      <c r="P442" t="s">
        <v>733</v>
      </c>
      <c r="Q442" t="s">
        <v>725</v>
      </c>
      <c r="R442" t="s">
        <v>726</v>
      </c>
      <c r="T442" t="s">
        <v>17</v>
      </c>
      <c r="U442" t="s">
        <v>18</v>
      </c>
      <c r="V442" s="6" t="s">
        <v>2943</v>
      </c>
      <c r="W442" t="s">
        <v>727</v>
      </c>
      <c r="X442" t="str">
        <f>"515-224-4442"</f>
        <v>515-224-4442</v>
      </c>
      <c r="Y442" t="s">
        <v>21</v>
      </c>
      <c r="Z442" t="s">
        <v>116</v>
      </c>
    </row>
    <row r="443" spans="1:26" x14ac:dyDescent="0.25">
      <c r="A443" t="str">
        <f>"98-45"</f>
        <v>98-45</v>
      </c>
      <c r="B443" t="s">
        <v>2207</v>
      </c>
      <c r="C443" t="s">
        <v>2754</v>
      </c>
      <c r="D443" t="s">
        <v>2208</v>
      </c>
      <c r="E443" t="s">
        <v>3120</v>
      </c>
      <c r="F443" t="s">
        <v>2209</v>
      </c>
      <c r="G443" t="s">
        <v>107</v>
      </c>
      <c r="H443" t="s">
        <v>108</v>
      </c>
      <c r="I443" t="str">
        <f>"515-313-7306"</f>
        <v>515-313-7306</v>
      </c>
      <c r="J443" s="11">
        <v>4</v>
      </c>
      <c r="K443" s="11">
        <v>24</v>
      </c>
      <c r="L443" s="11">
        <v>24</v>
      </c>
      <c r="M443" s="11" t="s">
        <v>3049</v>
      </c>
      <c r="N443" s="14">
        <v>43640</v>
      </c>
      <c r="P443" t="s">
        <v>2210</v>
      </c>
      <c r="Q443" t="s">
        <v>145</v>
      </c>
      <c r="R443" t="s">
        <v>187</v>
      </c>
      <c r="T443" t="s">
        <v>60</v>
      </c>
      <c r="U443" t="s">
        <v>18</v>
      </c>
      <c r="V443" s="6" t="s">
        <v>2899</v>
      </c>
      <c r="W443" t="s">
        <v>148</v>
      </c>
      <c r="X443" t="str">
        <f>"712-580-5360"</f>
        <v>712-580-5360</v>
      </c>
      <c r="Y443" t="s">
        <v>21</v>
      </c>
      <c r="Z443" t="s">
        <v>116</v>
      </c>
    </row>
    <row r="444" spans="1:26" x14ac:dyDescent="0.25">
      <c r="A444" t="str">
        <f>"14-14-2"</f>
        <v>14-14-2</v>
      </c>
      <c r="B444" t="s">
        <v>1492</v>
      </c>
      <c r="C444" t="s">
        <v>2582</v>
      </c>
      <c r="D444" t="s">
        <v>1493</v>
      </c>
      <c r="E444" t="s">
        <v>3121</v>
      </c>
      <c r="F444" t="s">
        <v>1494</v>
      </c>
      <c r="G444" t="s">
        <v>1495</v>
      </c>
      <c r="H444" t="s">
        <v>1496</v>
      </c>
      <c r="I444" t="str">
        <f>"402-434-3344"</f>
        <v>402-434-3344</v>
      </c>
      <c r="J444" s="11">
        <v>11</v>
      </c>
      <c r="K444" s="11">
        <v>14</v>
      </c>
      <c r="L444" s="11">
        <v>14</v>
      </c>
      <c r="M444" s="11" t="s">
        <v>3049</v>
      </c>
      <c r="N444" s="14">
        <v>44123</v>
      </c>
      <c r="P444" t="s">
        <v>1497</v>
      </c>
      <c r="Q444" t="s">
        <v>1498</v>
      </c>
      <c r="R444" t="s">
        <v>1499</v>
      </c>
      <c r="T444" t="s">
        <v>101</v>
      </c>
      <c r="U444" t="s">
        <v>42</v>
      </c>
      <c r="V444" s="6" t="s">
        <v>2992</v>
      </c>
      <c r="W444" t="s">
        <v>1500</v>
      </c>
      <c r="X444" t="str">
        <f>"402-434-3344"</f>
        <v>402-434-3344</v>
      </c>
      <c r="Y444" t="s">
        <v>21</v>
      </c>
      <c r="Z444" t="s">
        <v>116</v>
      </c>
    </row>
    <row r="445" spans="1:26" x14ac:dyDescent="0.25">
      <c r="A445" t="s">
        <v>1096</v>
      </c>
      <c r="B445" t="s">
        <v>1096</v>
      </c>
      <c r="C445" t="s">
        <v>911</v>
      </c>
      <c r="D445" t="s">
        <v>1097</v>
      </c>
      <c r="E445" t="s">
        <v>3122</v>
      </c>
      <c r="F445" t="s">
        <v>908</v>
      </c>
      <c r="G445" t="s">
        <v>909</v>
      </c>
      <c r="H445" t="s">
        <v>910</v>
      </c>
      <c r="I445" t="str">
        <f>"641-732-3337"</f>
        <v>641-732-3337</v>
      </c>
      <c r="J445" s="11">
        <v>0</v>
      </c>
      <c r="K445" s="11">
        <v>10</v>
      </c>
      <c r="L445" s="11">
        <v>10</v>
      </c>
      <c r="M445" s="11" t="s">
        <v>3049</v>
      </c>
      <c r="N445" s="14">
        <v>44186</v>
      </c>
      <c r="P445" t="s">
        <v>911</v>
      </c>
      <c r="Q445" t="s">
        <v>912</v>
      </c>
      <c r="R445" t="s">
        <v>913</v>
      </c>
      <c r="T445" t="s">
        <v>914</v>
      </c>
      <c r="U445" t="s">
        <v>18</v>
      </c>
      <c r="V445" s="6" t="s">
        <v>2960</v>
      </c>
      <c r="W445" t="s">
        <v>915</v>
      </c>
      <c r="X445" t="str">
        <f>"641-220-3714"</f>
        <v>641-220-3714</v>
      </c>
      <c r="Y445" t="s">
        <v>21</v>
      </c>
      <c r="Z445" t="s">
        <v>116</v>
      </c>
    </row>
    <row r="446" spans="1:26" x14ac:dyDescent="0.25">
      <c r="A446" t="s">
        <v>1351</v>
      </c>
      <c r="B446" t="s">
        <v>1351</v>
      </c>
      <c r="C446" t="s">
        <v>2544</v>
      </c>
      <c r="D446" t="s">
        <v>1352</v>
      </c>
      <c r="E446" t="s">
        <v>3122</v>
      </c>
      <c r="F446" t="s">
        <v>908</v>
      </c>
      <c r="G446" t="s">
        <v>909</v>
      </c>
      <c r="H446" t="s">
        <v>910</v>
      </c>
      <c r="I446" t="str">
        <f>"641-732-3337"</f>
        <v>641-732-3337</v>
      </c>
      <c r="J446" s="11">
        <v>0</v>
      </c>
      <c r="K446" s="11">
        <v>8</v>
      </c>
      <c r="L446" s="11">
        <v>8</v>
      </c>
      <c r="M446" s="11" t="s">
        <v>3049</v>
      </c>
      <c r="N446" s="14">
        <v>44186</v>
      </c>
      <c r="P446" t="s">
        <v>911</v>
      </c>
      <c r="Q446" t="s">
        <v>912</v>
      </c>
      <c r="R446" t="s">
        <v>913</v>
      </c>
      <c r="T446" t="s">
        <v>914</v>
      </c>
      <c r="U446" t="s">
        <v>18</v>
      </c>
      <c r="V446" s="6" t="s">
        <v>2960</v>
      </c>
      <c r="W446" t="s">
        <v>915</v>
      </c>
      <c r="X446" t="str">
        <f>"641-220-3714"</f>
        <v>641-220-3714</v>
      </c>
      <c r="Y446" t="s">
        <v>21</v>
      </c>
      <c r="Z446" t="s">
        <v>116</v>
      </c>
    </row>
    <row r="447" spans="1:26" x14ac:dyDescent="0.25">
      <c r="A447" t="str">
        <f>"92-35"</f>
        <v>92-35</v>
      </c>
      <c r="C447" t="s">
        <v>2676</v>
      </c>
      <c r="D447" t="s">
        <v>1914</v>
      </c>
      <c r="E447" t="s">
        <v>3122</v>
      </c>
      <c r="F447" t="s">
        <v>908</v>
      </c>
      <c r="G447" t="s">
        <v>78</v>
      </c>
      <c r="H447" t="s">
        <v>79</v>
      </c>
      <c r="I447" t="str">
        <f>"515-225-4782"</f>
        <v>515-225-4782</v>
      </c>
      <c r="J447" s="11">
        <v>3</v>
      </c>
      <c r="K447" s="11">
        <v>16</v>
      </c>
      <c r="L447" s="11">
        <v>16</v>
      </c>
      <c r="M447" s="11" t="s">
        <v>3051</v>
      </c>
      <c r="N447" s="14">
        <v>43704</v>
      </c>
      <c r="P447" t="s">
        <v>1915</v>
      </c>
      <c r="Q447" t="s">
        <v>81</v>
      </c>
      <c r="R447" t="s">
        <v>82</v>
      </c>
      <c r="S447" t="s">
        <v>83</v>
      </c>
      <c r="T447" t="s">
        <v>84</v>
      </c>
      <c r="U447" t="s">
        <v>18</v>
      </c>
      <c r="V447" s="6" t="s">
        <v>2890</v>
      </c>
      <c r="W447" t="s">
        <v>85</v>
      </c>
      <c r="X447" t="str">
        <f>"319-338-7600"</f>
        <v>319-338-7600</v>
      </c>
      <c r="Z447" t="s">
        <v>62</v>
      </c>
    </row>
    <row r="448" spans="1:26" x14ac:dyDescent="0.25">
      <c r="A448" t="str">
        <f>"91-01"</f>
        <v>91-01</v>
      </c>
      <c r="C448" t="s">
        <v>2654</v>
      </c>
      <c r="D448" t="s">
        <v>1816</v>
      </c>
      <c r="E448" t="s">
        <v>2031</v>
      </c>
      <c r="F448" t="s">
        <v>1817</v>
      </c>
      <c r="G448" t="s">
        <v>1818</v>
      </c>
      <c r="H448" t="s">
        <v>1819</v>
      </c>
      <c r="I448" t="str">
        <f>"573-443-2021"</f>
        <v>573-443-2021</v>
      </c>
      <c r="J448" s="11">
        <v>3</v>
      </c>
      <c r="K448" s="11">
        <v>24</v>
      </c>
      <c r="L448" s="11">
        <v>24</v>
      </c>
      <c r="M448" s="11" t="s">
        <v>3051</v>
      </c>
      <c r="N448" s="14">
        <v>43613</v>
      </c>
      <c r="P448" t="s">
        <v>1820</v>
      </c>
      <c r="Q448" t="s">
        <v>1819</v>
      </c>
      <c r="R448" t="s">
        <v>1821</v>
      </c>
      <c r="T448" t="s">
        <v>1822</v>
      </c>
      <c r="U448" t="s">
        <v>237</v>
      </c>
      <c r="V448" s="6" t="s">
        <v>3027</v>
      </c>
      <c r="W448" t="s">
        <v>1823</v>
      </c>
      <c r="X448" t="str">
        <f>"573-443-2021"</f>
        <v>573-443-2021</v>
      </c>
      <c r="Z448" t="s">
        <v>44</v>
      </c>
    </row>
    <row r="449" spans="1:26" x14ac:dyDescent="0.25">
      <c r="A449" t="str">
        <f>"94-40"</f>
        <v>94-40</v>
      </c>
      <c r="C449" t="s">
        <v>2702</v>
      </c>
      <c r="D449" t="s">
        <v>2021</v>
      </c>
      <c r="E449" t="s">
        <v>2031</v>
      </c>
      <c r="F449" t="s">
        <v>1817</v>
      </c>
      <c r="G449" t="s">
        <v>107</v>
      </c>
      <c r="H449" t="s">
        <v>108</v>
      </c>
      <c r="I449" t="str">
        <f>"515-313-7306"</f>
        <v>515-313-7306</v>
      </c>
      <c r="J449" s="11">
        <v>3</v>
      </c>
      <c r="K449" s="11">
        <v>24</v>
      </c>
      <c r="L449" s="11">
        <v>24</v>
      </c>
      <c r="M449" s="11" t="s">
        <v>3051</v>
      </c>
      <c r="N449" s="14">
        <v>43690</v>
      </c>
      <c r="P449" t="s">
        <v>2022</v>
      </c>
      <c r="Q449" t="s">
        <v>2023</v>
      </c>
      <c r="R449" t="s">
        <v>2024</v>
      </c>
      <c r="T449" t="s">
        <v>60</v>
      </c>
      <c r="U449" t="s">
        <v>18</v>
      </c>
      <c r="V449" s="6" t="s">
        <v>2893</v>
      </c>
      <c r="W449" t="s">
        <v>1887</v>
      </c>
      <c r="X449" t="str">
        <f>"515-279-3368"</f>
        <v>515-279-3368</v>
      </c>
      <c r="Z449" t="s">
        <v>116</v>
      </c>
    </row>
    <row r="450" spans="1:26" x14ac:dyDescent="0.25">
      <c r="A450" t="str">
        <f>"97-17"</f>
        <v>97-17</v>
      </c>
      <c r="C450" t="s">
        <v>2728</v>
      </c>
      <c r="D450" t="s">
        <v>2120</v>
      </c>
      <c r="E450" t="s">
        <v>2031</v>
      </c>
      <c r="F450" t="s">
        <v>1817</v>
      </c>
      <c r="G450" t="s">
        <v>295</v>
      </c>
      <c r="H450" t="s">
        <v>296</v>
      </c>
      <c r="I450" t="str">
        <f>"262-790-4560"</f>
        <v>262-790-4560</v>
      </c>
      <c r="J450" s="11">
        <v>2</v>
      </c>
      <c r="K450" s="11">
        <v>48</v>
      </c>
      <c r="L450" s="11">
        <v>47</v>
      </c>
      <c r="M450" s="11" t="s">
        <v>3051</v>
      </c>
      <c r="N450" s="14">
        <v>43020</v>
      </c>
      <c r="P450" t="s">
        <v>2121</v>
      </c>
      <c r="Q450" t="s">
        <v>296</v>
      </c>
      <c r="R450" t="s">
        <v>298</v>
      </c>
      <c r="T450" t="s">
        <v>299</v>
      </c>
      <c r="U450" t="s">
        <v>300</v>
      </c>
      <c r="V450" s="6" t="s">
        <v>2909</v>
      </c>
      <c r="W450" t="s">
        <v>301</v>
      </c>
      <c r="X450" t="str">
        <f>"262-790-4560"</f>
        <v>262-790-4560</v>
      </c>
      <c r="Z450" t="s">
        <v>20</v>
      </c>
    </row>
    <row r="451" spans="1:26" x14ac:dyDescent="0.25">
      <c r="A451" t="str">
        <f>"08-06"</f>
        <v>08-06</v>
      </c>
      <c r="B451" t="s">
        <v>936</v>
      </c>
      <c r="C451" t="s">
        <v>2457</v>
      </c>
      <c r="D451" t="s">
        <v>937</v>
      </c>
      <c r="E451" t="s">
        <v>2296</v>
      </c>
      <c r="F451" t="s">
        <v>938</v>
      </c>
      <c r="G451" t="s">
        <v>55</v>
      </c>
      <c r="H451" t="s">
        <v>56</v>
      </c>
      <c r="I451" t="str">
        <f>"712-262-5965"</f>
        <v>712-262-5965</v>
      </c>
      <c r="J451" s="11">
        <v>1</v>
      </c>
      <c r="K451" s="11">
        <v>15</v>
      </c>
      <c r="L451" s="11">
        <v>15</v>
      </c>
      <c r="M451" s="11" t="s">
        <v>3049</v>
      </c>
      <c r="N451" s="14">
        <v>43753</v>
      </c>
      <c r="P451" t="s">
        <v>939</v>
      </c>
      <c r="Q451" t="s">
        <v>58</v>
      </c>
      <c r="R451" t="s">
        <v>59</v>
      </c>
      <c r="T451" t="s">
        <v>60</v>
      </c>
      <c r="U451" t="s">
        <v>18</v>
      </c>
      <c r="V451" s="6" t="s">
        <v>2888</v>
      </c>
      <c r="W451" t="s">
        <v>61</v>
      </c>
      <c r="X451" t="str">
        <f>"515-262-5965"</f>
        <v>515-262-5965</v>
      </c>
      <c r="Y451" t="s">
        <v>151</v>
      </c>
      <c r="Z451" t="s">
        <v>62</v>
      </c>
    </row>
    <row r="452" spans="1:26" x14ac:dyDescent="0.25">
      <c r="A452" t="str">
        <f>"08-07"</f>
        <v>08-07</v>
      </c>
      <c r="B452" t="s">
        <v>940</v>
      </c>
      <c r="C452" t="s">
        <v>2458</v>
      </c>
      <c r="D452" t="s">
        <v>941</v>
      </c>
      <c r="E452" t="s">
        <v>2296</v>
      </c>
      <c r="F452" t="s">
        <v>938</v>
      </c>
      <c r="G452" t="s">
        <v>55</v>
      </c>
      <c r="H452" t="s">
        <v>56</v>
      </c>
      <c r="I452" t="str">
        <f>"712-262-5965"</f>
        <v>712-262-5965</v>
      </c>
      <c r="J452" s="11">
        <v>1</v>
      </c>
      <c r="K452" s="11">
        <v>15</v>
      </c>
      <c r="L452" s="11">
        <v>15</v>
      </c>
      <c r="M452" s="11" t="s">
        <v>3049</v>
      </c>
      <c r="N452" s="14">
        <v>43753</v>
      </c>
      <c r="P452" t="s">
        <v>942</v>
      </c>
      <c r="Q452" t="s">
        <v>58</v>
      </c>
      <c r="R452" t="s">
        <v>59</v>
      </c>
      <c r="T452" t="s">
        <v>60</v>
      </c>
      <c r="U452" t="s">
        <v>18</v>
      </c>
      <c r="V452" s="6" t="s">
        <v>2888</v>
      </c>
      <c r="W452" t="s">
        <v>61</v>
      </c>
      <c r="X452" t="str">
        <f>"515-262-5965"</f>
        <v>515-262-5965</v>
      </c>
      <c r="Y452" t="s">
        <v>33</v>
      </c>
      <c r="Z452" t="s">
        <v>62</v>
      </c>
    </row>
    <row r="453" spans="1:26" x14ac:dyDescent="0.25">
      <c r="A453" t="str">
        <f>"14-14-31"</f>
        <v>14-14-31</v>
      </c>
      <c r="C453" t="s">
        <v>2586</v>
      </c>
      <c r="D453" t="s">
        <v>1525</v>
      </c>
      <c r="E453" t="s">
        <v>2296</v>
      </c>
      <c r="F453" t="s">
        <v>938</v>
      </c>
      <c r="G453" t="s">
        <v>1221</v>
      </c>
      <c r="H453" t="s">
        <v>1222</v>
      </c>
      <c r="I453" t="str">
        <f>"316-263-2215"</f>
        <v>316-263-2215</v>
      </c>
      <c r="J453" s="11">
        <v>3</v>
      </c>
      <c r="K453" s="11">
        <v>48</v>
      </c>
      <c r="L453" s="11">
        <v>46</v>
      </c>
      <c r="M453" s="11" t="s">
        <v>3050</v>
      </c>
      <c r="N453" s="14">
        <v>43844</v>
      </c>
      <c r="P453" t="s">
        <v>1526</v>
      </c>
      <c r="Q453" t="s">
        <v>1435</v>
      </c>
      <c r="R453" t="s">
        <v>1436</v>
      </c>
      <c r="S453" t="s">
        <v>100</v>
      </c>
      <c r="T453" t="s">
        <v>1437</v>
      </c>
      <c r="U453" t="s">
        <v>1196</v>
      </c>
      <c r="V453" s="6" t="s">
        <v>2995</v>
      </c>
      <c r="W453" t="s">
        <v>1438</v>
      </c>
      <c r="X453" t="str">
        <f>"913-396-6310"</f>
        <v>913-396-6310</v>
      </c>
      <c r="Y453" t="s">
        <v>21</v>
      </c>
      <c r="Z453" t="s">
        <v>20</v>
      </c>
    </row>
    <row r="454" spans="1:26" x14ac:dyDescent="0.25">
      <c r="A454" t="str">
        <f>"93-28"</f>
        <v>93-28</v>
      </c>
      <c r="C454" t="s">
        <v>2689</v>
      </c>
      <c r="D454" t="s">
        <v>1960</v>
      </c>
      <c r="E454" t="s">
        <v>2296</v>
      </c>
      <c r="F454" t="s">
        <v>938</v>
      </c>
      <c r="G454" t="s">
        <v>107</v>
      </c>
      <c r="H454" t="s">
        <v>108</v>
      </c>
      <c r="I454" t="str">
        <f>"515-313-7306"</f>
        <v>515-313-7306</v>
      </c>
      <c r="J454" s="11">
        <v>2</v>
      </c>
      <c r="K454" s="11">
        <v>16</v>
      </c>
      <c r="L454" s="11">
        <v>16</v>
      </c>
      <c r="M454" s="11" t="s">
        <v>3051</v>
      </c>
      <c r="N454" s="14">
        <v>43629</v>
      </c>
      <c r="P454" t="s">
        <v>1961</v>
      </c>
      <c r="Q454" t="s">
        <v>145</v>
      </c>
      <c r="R454" t="s">
        <v>187</v>
      </c>
      <c r="T454" t="s">
        <v>60</v>
      </c>
      <c r="U454" t="s">
        <v>18</v>
      </c>
      <c r="V454" s="6" t="s">
        <v>2899</v>
      </c>
      <c r="W454" t="s">
        <v>148</v>
      </c>
      <c r="X454" t="str">
        <f>"712-580-5360"</f>
        <v>712-580-5360</v>
      </c>
      <c r="Z454" t="s">
        <v>116</v>
      </c>
    </row>
    <row r="455" spans="1:26" x14ac:dyDescent="0.25">
      <c r="A455" t="str">
        <f>"98-29"</f>
        <v>98-29</v>
      </c>
      <c r="B455" t="s">
        <v>2192</v>
      </c>
      <c r="C455" t="s">
        <v>2750</v>
      </c>
      <c r="D455" t="s">
        <v>2193</v>
      </c>
      <c r="E455" t="s">
        <v>2296</v>
      </c>
      <c r="F455" t="s">
        <v>938</v>
      </c>
      <c r="G455" t="s">
        <v>78</v>
      </c>
      <c r="H455" t="s">
        <v>79</v>
      </c>
      <c r="I455" t="str">
        <f>"515-225-4782"</f>
        <v>515-225-4782</v>
      </c>
      <c r="J455" s="11">
        <v>1</v>
      </c>
      <c r="K455" s="11">
        <v>24</v>
      </c>
      <c r="L455" s="11">
        <v>24</v>
      </c>
      <c r="M455" s="11" t="s">
        <v>3051</v>
      </c>
      <c r="N455" s="14">
        <v>43542</v>
      </c>
      <c r="P455" t="s">
        <v>2194</v>
      </c>
      <c r="Q455" t="s">
        <v>81</v>
      </c>
      <c r="R455" t="s">
        <v>82</v>
      </c>
      <c r="S455" t="s">
        <v>83</v>
      </c>
      <c r="T455" t="s">
        <v>84</v>
      </c>
      <c r="U455" t="s">
        <v>18</v>
      </c>
      <c r="V455" s="6" t="s">
        <v>2890</v>
      </c>
      <c r="W455" t="s">
        <v>85</v>
      </c>
      <c r="X455" t="str">
        <f>"319-338-7600"</f>
        <v>319-338-7600</v>
      </c>
      <c r="Y455" t="s">
        <v>21</v>
      </c>
      <c r="Z455" t="s">
        <v>62</v>
      </c>
    </row>
    <row r="456" spans="1:26" x14ac:dyDescent="0.25">
      <c r="A456" t="str">
        <f>"98-39"</f>
        <v>98-39</v>
      </c>
      <c r="C456" t="s">
        <v>2702</v>
      </c>
      <c r="D456" t="s">
        <v>2198</v>
      </c>
      <c r="E456" t="s">
        <v>2296</v>
      </c>
      <c r="F456" t="s">
        <v>938</v>
      </c>
      <c r="G456" t="s">
        <v>295</v>
      </c>
      <c r="H456" t="s">
        <v>296</v>
      </c>
      <c r="I456" t="str">
        <f>"262-790-4560"</f>
        <v>262-790-4560</v>
      </c>
      <c r="J456" s="11">
        <v>1</v>
      </c>
      <c r="K456" s="11">
        <v>30</v>
      </c>
      <c r="L456" s="11">
        <v>30</v>
      </c>
      <c r="M456" s="11" t="s">
        <v>3051</v>
      </c>
      <c r="N456" s="14">
        <v>43613</v>
      </c>
      <c r="P456" t="s">
        <v>2199</v>
      </c>
      <c r="Q456" t="s">
        <v>2184</v>
      </c>
      <c r="R456" t="s">
        <v>298</v>
      </c>
      <c r="T456" t="s">
        <v>299</v>
      </c>
      <c r="U456" t="s">
        <v>300</v>
      </c>
      <c r="V456" s="6" t="s">
        <v>2909</v>
      </c>
      <c r="W456" t="s">
        <v>301</v>
      </c>
      <c r="X456" t="str">
        <f>"262-790-4560"</f>
        <v>262-790-4560</v>
      </c>
      <c r="Y456" t="s">
        <v>21</v>
      </c>
      <c r="Z456" t="s">
        <v>20</v>
      </c>
    </row>
    <row r="457" spans="1:26" x14ac:dyDescent="0.25">
      <c r="A457" t="str">
        <f>"98-77"</f>
        <v>98-77</v>
      </c>
      <c r="B457" t="s">
        <v>2241</v>
      </c>
      <c r="C457" t="s">
        <v>2831</v>
      </c>
      <c r="D457" t="s">
        <v>2193</v>
      </c>
      <c r="E457" t="s">
        <v>2296</v>
      </c>
      <c r="F457" t="s">
        <v>938</v>
      </c>
      <c r="G457" t="s">
        <v>78</v>
      </c>
      <c r="H457" t="s">
        <v>79</v>
      </c>
      <c r="I457" t="str">
        <f>"515-225-4782"</f>
        <v>515-225-4782</v>
      </c>
      <c r="J457" s="11">
        <v>1</v>
      </c>
      <c r="K457" s="11">
        <v>24</v>
      </c>
      <c r="L457" s="11">
        <v>24</v>
      </c>
      <c r="M457" s="11" t="s">
        <v>3049</v>
      </c>
      <c r="N457" s="14">
        <v>43542</v>
      </c>
      <c r="P457" t="s">
        <v>2242</v>
      </c>
      <c r="Q457" t="s">
        <v>81</v>
      </c>
      <c r="R457" t="s">
        <v>82</v>
      </c>
      <c r="S457" t="s">
        <v>83</v>
      </c>
      <c r="T457" t="s">
        <v>84</v>
      </c>
      <c r="U457" t="s">
        <v>18</v>
      </c>
      <c r="V457" s="6" t="s">
        <v>2890</v>
      </c>
      <c r="W457" t="s">
        <v>85</v>
      </c>
      <c r="X457" t="str">
        <f>"319-338-7600"</f>
        <v>319-338-7600</v>
      </c>
      <c r="Y457" t="s">
        <v>21</v>
      </c>
      <c r="Z457" t="s">
        <v>62</v>
      </c>
    </row>
    <row r="458" spans="1:26" x14ac:dyDescent="0.25">
      <c r="A458" t="str">
        <f>"99-43"</f>
        <v>99-43</v>
      </c>
      <c r="C458" t="s">
        <v>2834</v>
      </c>
      <c r="D458" t="s">
        <v>2198</v>
      </c>
      <c r="E458" t="s">
        <v>2296</v>
      </c>
      <c r="F458" t="s">
        <v>938</v>
      </c>
      <c r="G458" t="s">
        <v>295</v>
      </c>
      <c r="H458" t="s">
        <v>296</v>
      </c>
      <c r="I458" t="str">
        <f>"262-790-4560"</f>
        <v>262-790-4560</v>
      </c>
      <c r="J458" s="11">
        <v>1</v>
      </c>
      <c r="K458" s="11">
        <v>30</v>
      </c>
      <c r="L458" s="11">
        <v>30</v>
      </c>
      <c r="M458" s="11" t="s">
        <v>3051</v>
      </c>
      <c r="N458" s="14">
        <v>43613</v>
      </c>
      <c r="P458" t="s">
        <v>2199</v>
      </c>
      <c r="Q458" t="s">
        <v>2184</v>
      </c>
      <c r="R458" t="s">
        <v>298</v>
      </c>
      <c r="T458" t="s">
        <v>299</v>
      </c>
      <c r="U458" t="s">
        <v>300</v>
      </c>
      <c r="V458" s="6" t="s">
        <v>2909</v>
      </c>
      <c r="W458" t="s">
        <v>301</v>
      </c>
      <c r="X458" t="str">
        <f>"262-790-4560"</f>
        <v>262-790-4560</v>
      </c>
      <c r="Y458" t="s">
        <v>21</v>
      </c>
      <c r="Z458" t="s">
        <v>20</v>
      </c>
    </row>
    <row r="459" spans="1:26" x14ac:dyDescent="0.25">
      <c r="A459" t="str">
        <f>"03-31"</f>
        <v>03-31</v>
      </c>
      <c r="B459" t="s">
        <v>425</v>
      </c>
      <c r="C459" t="s">
        <v>2364</v>
      </c>
      <c r="D459" t="s">
        <v>426</v>
      </c>
      <c r="E459" t="s">
        <v>2299</v>
      </c>
      <c r="F459" t="s">
        <v>427</v>
      </c>
      <c r="G459" t="s">
        <v>55</v>
      </c>
      <c r="H459" t="s">
        <v>56</v>
      </c>
      <c r="I459" t="str">
        <f>"712-262-5965"</f>
        <v>712-262-5965</v>
      </c>
      <c r="J459" s="11">
        <v>4</v>
      </c>
      <c r="K459" s="11">
        <v>19</v>
      </c>
      <c r="L459" s="11">
        <v>19</v>
      </c>
      <c r="M459" s="11" t="s">
        <v>3049</v>
      </c>
      <c r="N459" s="14">
        <v>43489</v>
      </c>
      <c r="P459" t="s">
        <v>428</v>
      </c>
      <c r="Q459" t="s">
        <v>58</v>
      </c>
      <c r="R459" t="s">
        <v>59</v>
      </c>
      <c r="T459" t="s">
        <v>60</v>
      </c>
      <c r="U459" t="s">
        <v>18</v>
      </c>
      <c r="V459" s="6" t="s">
        <v>2888</v>
      </c>
      <c r="W459" t="s">
        <v>61</v>
      </c>
      <c r="X459" t="str">
        <f>"515-262-5965"</f>
        <v>515-262-5965</v>
      </c>
      <c r="Y459" t="s">
        <v>21</v>
      </c>
      <c r="Z459" t="s">
        <v>62</v>
      </c>
    </row>
    <row r="460" spans="1:26" x14ac:dyDescent="0.25">
      <c r="A460" t="str">
        <f>"03-34"</f>
        <v>03-34</v>
      </c>
      <c r="B460" t="s">
        <v>429</v>
      </c>
      <c r="C460" t="s">
        <v>2365</v>
      </c>
      <c r="D460" t="s">
        <v>430</v>
      </c>
      <c r="E460" t="s">
        <v>2299</v>
      </c>
      <c r="F460" t="s">
        <v>427</v>
      </c>
      <c r="G460" t="s">
        <v>78</v>
      </c>
      <c r="H460" t="s">
        <v>79</v>
      </c>
      <c r="I460" t="str">
        <f>"515-225-4782"</f>
        <v>515-225-4782</v>
      </c>
      <c r="J460" s="11">
        <v>1</v>
      </c>
      <c r="K460" s="11">
        <v>12</v>
      </c>
      <c r="L460" s="11">
        <v>12</v>
      </c>
      <c r="M460" s="11" t="s">
        <v>3049</v>
      </c>
      <c r="N460" s="14">
        <v>43542</v>
      </c>
      <c r="P460" t="s">
        <v>431</v>
      </c>
      <c r="Q460" t="s">
        <v>81</v>
      </c>
      <c r="R460" t="s">
        <v>82</v>
      </c>
      <c r="S460" t="s">
        <v>83</v>
      </c>
      <c r="T460" t="s">
        <v>84</v>
      </c>
      <c r="U460" t="s">
        <v>18</v>
      </c>
      <c r="V460" s="6" t="s">
        <v>2890</v>
      </c>
      <c r="W460" t="s">
        <v>85</v>
      </c>
      <c r="X460" t="str">
        <f>"319-338-7600"</f>
        <v>319-338-7600</v>
      </c>
      <c r="Y460" t="s">
        <v>21</v>
      </c>
      <c r="Z460" t="s">
        <v>62</v>
      </c>
    </row>
    <row r="461" spans="1:26" x14ac:dyDescent="0.25">
      <c r="A461" t="str">
        <f>"04-44"</f>
        <v>04-44</v>
      </c>
      <c r="C461" t="s">
        <v>2386</v>
      </c>
      <c r="D461" t="s">
        <v>519</v>
      </c>
      <c r="E461" t="s">
        <v>2299</v>
      </c>
      <c r="F461" t="s">
        <v>427</v>
      </c>
      <c r="G461" t="s">
        <v>295</v>
      </c>
      <c r="H461" t="s">
        <v>296</v>
      </c>
      <c r="I461" t="str">
        <f>"262-790-4560"</f>
        <v>262-790-4560</v>
      </c>
      <c r="J461" s="11">
        <v>1</v>
      </c>
      <c r="K461" s="11">
        <v>36</v>
      </c>
      <c r="L461" s="11">
        <v>35</v>
      </c>
      <c r="M461" s="11" t="s">
        <v>3051</v>
      </c>
      <c r="N461" s="14">
        <v>43955</v>
      </c>
      <c r="P461" t="s">
        <v>520</v>
      </c>
      <c r="Q461" t="s">
        <v>296</v>
      </c>
      <c r="R461" t="s">
        <v>298</v>
      </c>
      <c r="T461" t="s">
        <v>299</v>
      </c>
      <c r="U461" t="s">
        <v>300</v>
      </c>
      <c r="V461" s="6" t="s">
        <v>2909</v>
      </c>
      <c r="W461" t="s">
        <v>301</v>
      </c>
      <c r="X461" t="str">
        <f>"262-790-4560"</f>
        <v>262-790-4560</v>
      </c>
      <c r="Y461" t="s">
        <v>21</v>
      </c>
      <c r="Z461" t="s">
        <v>20</v>
      </c>
    </row>
    <row r="462" spans="1:26" x14ac:dyDescent="0.25">
      <c r="A462" t="str">
        <f>"17-16"</f>
        <v>17-16</v>
      </c>
      <c r="C462" t="s">
        <v>2627</v>
      </c>
      <c r="D462" t="s">
        <v>1697</v>
      </c>
      <c r="E462" t="s">
        <v>2299</v>
      </c>
      <c r="F462" t="s">
        <v>427</v>
      </c>
      <c r="G462" t="s">
        <v>352</v>
      </c>
      <c r="H462" t="s">
        <v>1548</v>
      </c>
      <c r="I462" t="str">
        <f>"317-252-0217"</f>
        <v>317-252-0217</v>
      </c>
      <c r="J462" s="11">
        <v>1</v>
      </c>
      <c r="K462" s="11">
        <v>52</v>
      </c>
      <c r="L462" s="11">
        <v>46</v>
      </c>
      <c r="M462" s="11" t="s">
        <v>3050</v>
      </c>
      <c r="N462" s="14">
        <v>44075</v>
      </c>
      <c r="P462" t="s">
        <v>1698</v>
      </c>
      <c r="Q462" t="s">
        <v>204</v>
      </c>
      <c r="R462" t="s">
        <v>234</v>
      </c>
      <c r="S462" t="s">
        <v>235</v>
      </c>
      <c r="T462" t="s">
        <v>60</v>
      </c>
      <c r="U462" t="s">
        <v>18</v>
      </c>
      <c r="V462" s="6" t="s">
        <v>3013</v>
      </c>
      <c r="W462" t="s">
        <v>236</v>
      </c>
      <c r="X462" t="str">
        <f>"515-244-8308"</f>
        <v>515-244-8308</v>
      </c>
      <c r="Y462" t="s">
        <v>21</v>
      </c>
      <c r="Z462" t="s">
        <v>20</v>
      </c>
    </row>
    <row r="463" spans="1:26" x14ac:dyDescent="0.25">
      <c r="A463" t="str">
        <f>"06-27"</f>
        <v>06-27</v>
      </c>
      <c r="C463" t="s">
        <v>2847</v>
      </c>
      <c r="D463" t="s">
        <v>734</v>
      </c>
      <c r="E463" t="s">
        <v>3123</v>
      </c>
      <c r="F463" t="s">
        <v>735</v>
      </c>
      <c r="G463" t="s">
        <v>722</v>
      </c>
      <c r="H463" t="s">
        <v>723</v>
      </c>
      <c r="I463" t="str">
        <f>"515-339-4423"</f>
        <v>515-339-4423</v>
      </c>
      <c r="J463" s="11">
        <v>1</v>
      </c>
      <c r="K463" s="11">
        <v>11</v>
      </c>
      <c r="L463" s="11">
        <v>10</v>
      </c>
      <c r="M463" s="11" t="s">
        <v>3050</v>
      </c>
      <c r="N463" s="14">
        <v>43290</v>
      </c>
      <c r="P463" t="s">
        <v>736</v>
      </c>
      <c r="Q463" t="s">
        <v>725</v>
      </c>
      <c r="R463" t="s">
        <v>726</v>
      </c>
      <c r="T463" t="s">
        <v>17</v>
      </c>
      <c r="U463" t="s">
        <v>18</v>
      </c>
      <c r="V463" s="6" t="s">
        <v>2943</v>
      </c>
      <c r="W463" t="s">
        <v>727</v>
      </c>
      <c r="X463" t="str">
        <f>"515-224-4442"</f>
        <v>515-224-4442</v>
      </c>
      <c r="Y463" t="s">
        <v>21</v>
      </c>
      <c r="Z463" t="s">
        <v>116</v>
      </c>
    </row>
    <row r="464" spans="1:26" x14ac:dyDescent="0.25">
      <c r="A464" t="str">
        <f>"92-33"</f>
        <v>92-33</v>
      </c>
      <c r="C464" t="s">
        <v>2674</v>
      </c>
      <c r="D464" t="s">
        <v>1910</v>
      </c>
      <c r="E464" t="s">
        <v>3124</v>
      </c>
      <c r="F464" t="s">
        <v>1100</v>
      </c>
      <c r="G464" t="s">
        <v>107</v>
      </c>
      <c r="H464" t="s">
        <v>108</v>
      </c>
      <c r="I464" t="str">
        <f>"515-313-7306"</f>
        <v>515-313-7306</v>
      </c>
      <c r="J464" s="11">
        <v>3</v>
      </c>
      <c r="K464" s="11">
        <v>20</v>
      </c>
      <c r="L464" s="11">
        <v>20</v>
      </c>
      <c r="M464" s="11" t="s">
        <v>3051</v>
      </c>
      <c r="N464" s="14">
        <v>43559</v>
      </c>
      <c r="P464" t="s">
        <v>1911</v>
      </c>
      <c r="Q464" t="s">
        <v>1884</v>
      </c>
      <c r="R464" t="s">
        <v>1885</v>
      </c>
      <c r="T464" t="s">
        <v>1886</v>
      </c>
      <c r="U464" t="s">
        <v>18</v>
      </c>
      <c r="V464" s="6" t="s">
        <v>3030</v>
      </c>
      <c r="W464" t="s">
        <v>1887</v>
      </c>
      <c r="X464" t="str">
        <f>"641-352-0117"</f>
        <v>641-352-0117</v>
      </c>
      <c r="Z464" t="s">
        <v>116</v>
      </c>
    </row>
    <row r="465" spans="1:26" x14ac:dyDescent="0.25">
      <c r="A465" t="str">
        <f>"13-13-24"</f>
        <v>13-13-24</v>
      </c>
      <c r="C465" t="s">
        <v>2567</v>
      </c>
      <c r="D465" t="s">
        <v>1433</v>
      </c>
      <c r="E465" t="s">
        <v>3125</v>
      </c>
      <c r="F465" t="s">
        <v>330</v>
      </c>
      <c r="G465" t="s">
        <v>1221</v>
      </c>
      <c r="H465" t="s">
        <v>1222</v>
      </c>
      <c r="I465" t="str">
        <f>"316-263-2215"</f>
        <v>316-263-2215</v>
      </c>
      <c r="J465" s="11">
        <v>2</v>
      </c>
      <c r="K465" s="11">
        <v>32</v>
      </c>
      <c r="L465" s="11">
        <v>31</v>
      </c>
      <c r="M465" s="11" t="s">
        <v>3050</v>
      </c>
      <c r="N465" s="14">
        <v>43438</v>
      </c>
      <c r="P465" t="s">
        <v>1434</v>
      </c>
      <c r="Q465" t="s">
        <v>1435</v>
      </c>
      <c r="R465" t="s">
        <v>1436</v>
      </c>
      <c r="S465" t="s">
        <v>100</v>
      </c>
      <c r="T465" t="s">
        <v>1437</v>
      </c>
      <c r="U465" t="s">
        <v>1196</v>
      </c>
      <c r="V465" s="6" t="s">
        <v>2988</v>
      </c>
      <c r="W465" t="s">
        <v>1438</v>
      </c>
      <c r="X465" t="str">
        <f>"913-396-6310"</f>
        <v>913-396-6310</v>
      </c>
      <c r="Y465" t="s">
        <v>21</v>
      </c>
      <c r="Z465" t="s">
        <v>20</v>
      </c>
    </row>
    <row r="466" spans="1:26" x14ac:dyDescent="0.25">
      <c r="A466" t="str">
        <f>"98-76"</f>
        <v>98-76</v>
      </c>
      <c r="B466" t="s">
        <v>2238</v>
      </c>
      <c r="C466" t="s">
        <v>2764</v>
      </c>
      <c r="D466" t="s">
        <v>2239</v>
      </c>
      <c r="E466" t="s">
        <v>3125</v>
      </c>
      <c r="F466" t="s">
        <v>330</v>
      </c>
      <c r="G466" t="s">
        <v>95</v>
      </c>
      <c r="H466" t="s">
        <v>96</v>
      </c>
      <c r="I466" t="str">
        <f>"402-488-1666"</f>
        <v>402-488-1666</v>
      </c>
      <c r="J466" s="11">
        <v>2</v>
      </c>
      <c r="K466" s="11">
        <v>48</v>
      </c>
      <c r="L466" s="11">
        <v>24</v>
      </c>
      <c r="M466" s="11" t="s">
        <v>3149</v>
      </c>
      <c r="N466" s="14">
        <v>44109</v>
      </c>
      <c r="P466" t="s">
        <v>2240</v>
      </c>
      <c r="Q466" t="s">
        <v>98</v>
      </c>
      <c r="R466" t="s">
        <v>99</v>
      </c>
      <c r="S466" t="s">
        <v>100</v>
      </c>
      <c r="T466" t="s">
        <v>101</v>
      </c>
      <c r="U466" t="s">
        <v>42</v>
      </c>
      <c r="V466" s="6" t="s">
        <v>3047</v>
      </c>
      <c r="W466" t="s">
        <v>102</v>
      </c>
      <c r="X466" t="str">
        <f>"402-488-1666"</f>
        <v>402-488-1666</v>
      </c>
      <c r="Y466" t="s">
        <v>21</v>
      </c>
      <c r="Z466" t="s">
        <v>103</v>
      </c>
    </row>
    <row r="467" spans="1:26" x14ac:dyDescent="0.25">
      <c r="A467" t="str">
        <f>"03-23"</f>
        <v>03-23</v>
      </c>
      <c r="B467" t="s">
        <v>401</v>
      </c>
      <c r="C467" t="s">
        <v>2360</v>
      </c>
      <c r="D467" t="s">
        <v>402</v>
      </c>
      <c r="E467" t="s">
        <v>3126</v>
      </c>
      <c r="F467" t="s">
        <v>23</v>
      </c>
      <c r="G467" t="s">
        <v>403</v>
      </c>
      <c r="H467" t="s">
        <v>404</v>
      </c>
      <c r="I467" t="str">
        <f>"563-556-5013"</f>
        <v>563-556-5013</v>
      </c>
      <c r="J467" s="11">
        <v>6</v>
      </c>
      <c r="K467" s="11">
        <v>24</v>
      </c>
      <c r="L467" s="11">
        <v>24</v>
      </c>
      <c r="M467" s="11" t="s">
        <v>3049</v>
      </c>
      <c r="N467" s="14">
        <v>43516</v>
      </c>
      <c r="P467" t="s">
        <v>405</v>
      </c>
      <c r="Q467" t="s">
        <v>406</v>
      </c>
      <c r="R467" t="s">
        <v>407</v>
      </c>
      <c r="T467" t="s">
        <v>23</v>
      </c>
      <c r="U467" t="s">
        <v>18</v>
      </c>
      <c r="V467" s="6" t="s">
        <v>2919</v>
      </c>
      <c r="W467" t="s">
        <v>408</v>
      </c>
      <c r="X467" t="str">
        <f>"563-556-4166"</f>
        <v>563-556-4166</v>
      </c>
      <c r="Y467" t="s">
        <v>21</v>
      </c>
      <c r="Z467" t="s">
        <v>103</v>
      </c>
    </row>
    <row r="468" spans="1:26" x14ac:dyDescent="0.25">
      <c r="A468" t="str">
        <f>"15-15-17"</f>
        <v>15-15-17</v>
      </c>
      <c r="B468" t="s">
        <v>1582</v>
      </c>
      <c r="C468" t="s">
        <v>2599</v>
      </c>
      <c r="D468" t="s">
        <v>1583</v>
      </c>
      <c r="E468" t="s">
        <v>3127</v>
      </c>
      <c r="F468" t="s">
        <v>106</v>
      </c>
      <c r="G468" t="s">
        <v>851</v>
      </c>
      <c r="H468" t="s">
        <v>852</v>
      </c>
      <c r="I468" t="str">
        <f>"515-490-9001"</f>
        <v>515-490-9001</v>
      </c>
      <c r="J468" s="11">
        <v>1</v>
      </c>
      <c r="K468" s="11">
        <v>36</v>
      </c>
      <c r="L468" s="11">
        <v>32</v>
      </c>
      <c r="M468" s="11" t="s">
        <v>3149</v>
      </c>
      <c r="N468" s="14">
        <v>43867</v>
      </c>
      <c r="P468" t="s">
        <v>1584</v>
      </c>
      <c r="Q468" t="s">
        <v>852</v>
      </c>
      <c r="R468" t="s">
        <v>998</v>
      </c>
      <c r="S468" t="s">
        <v>999</v>
      </c>
      <c r="T468" t="s">
        <v>17</v>
      </c>
      <c r="U468" t="s">
        <v>18</v>
      </c>
      <c r="V468" s="6" t="s">
        <v>2962</v>
      </c>
      <c r="W468" t="s">
        <v>1000</v>
      </c>
      <c r="X468" t="str">
        <f>"515-490-9001"</f>
        <v>515-490-9001</v>
      </c>
      <c r="Y468" t="s">
        <v>21</v>
      </c>
      <c r="Z468" t="s">
        <v>44</v>
      </c>
    </row>
    <row r="469" spans="1:26" x14ac:dyDescent="0.25">
      <c r="A469" t="str">
        <f>"15-15-18"</f>
        <v>15-15-18</v>
      </c>
      <c r="C469" t="s">
        <v>2600</v>
      </c>
      <c r="D469" t="s">
        <v>1585</v>
      </c>
      <c r="E469" t="s">
        <v>3127</v>
      </c>
      <c r="F469" t="s">
        <v>106</v>
      </c>
      <c r="G469" t="s">
        <v>851</v>
      </c>
      <c r="H469" t="s">
        <v>852</v>
      </c>
      <c r="I469" t="str">
        <f>"515-490-9001"</f>
        <v>515-490-9001</v>
      </c>
      <c r="J469" s="11">
        <v>1</v>
      </c>
      <c r="K469" s="11">
        <v>38</v>
      </c>
      <c r="L469" s="11">
        <v>34</v>
      </c>
      <c r="M469" s="11" t="s">
        <v>3050</v>
      </c>
      <c r="N469" s="14">
        <v>43361</v>
      </c>
      <c r="P469" t="s">
        <v>1586</v>
      </c>
      <c r="Q469" t="s">
        <v>1587</v>
      </c>
      <c r="R469" t="s">
        <v>1588</v>
      </c>
      <c r="T469" t="s">
        <v>1589</v>
      </c>
      <c r="U469" t="s">
        <v>300</v>
      </c>
      <c r="V469" s="6" t="s">
        <v>3001</v>
      </c>
      <c r="W469" t="s">
        <v>1590</v>
      </c>
      <c r="X469" t="str">
        <f>"262-842-0542"</f>
        <v>262-842-0542</v>
      </c>
      <c r="Y469" t="s">
        <v>21</v>
      </c>
      <c r="Z469" t="s">
        <v>44</v>
      </c>
    </row>
    <row r="470" spans="1:26" x14ac:dyDescent="0.25">
      <c r="A470" t="s">
        <v>1626</v>
      </c>
      <c r="B470" t="s">
        <v>1626</v>
      </c>
      <c r="C470" t="s">
        <v>1628</v>
      </c>
      <c r="D470" t="s">
        <v>1627</v>
      </c>
      <c r="E470" t="s">
        <v>3127</v>
      </c>
      <c r="F470" t="s">
        <v>106</v>
      </c>
      <c r="G470" t="s">
        <v>1628</v>
      </c>
      <c r="H470" t="s">
        <v>1629</v>
      </c>
      <c r="I470" t="str">
        <f>"515-339-6771"</f>
        <v>515-339-6771</v>
      </c>
      <c r="J470" s="11">
        <v>0</v>
      </c>
      <c r="K470" s="11">
        <v>6</v>
      </c>
      <c r="L470" s="11">
        <v>6</v>
      </c>
      <c r="M470" s="11" t="s">
        <v>3049</v>
      </c>
      <c r="N470" s="14">
        <v>43993</v>
      </c>
      <c r="P470" t="s">
        <v>1628</v>
      </c>
      <c r="Q470" t="s">
        <v>1629</v>
      </c>
      <c r="R470" t="s">
        <v>1630</v>
      </c>
      <c r="T470" t="s">
        <v>1631</v>
      </c>
      <c r="U470" t="s">
        <v>18</v>
      </c>
      <c r="V470" s="6" t="s">
        <v>3004</v>
      </c>
      <c r="W470" t="s">
        <v>1632</v>
      </c>
      <c r="X470" t="str">
        <f>"515-339-6771"</f>
        <v>515-339-6771</v>
      </c>
      <c r="Y470" t="s">
        <v>21</v>
      </c>
      <c r="Z470" t="s">
        <v>20</v>
      </c>
    </row>
    <row r="471" spans="1:26" x14ac:dyDescent="0.25">
      <c r="A471" t="str">
        <f>"90-38"</f>
        <v>90-38</v>
      </c>
      <c r="C471" t="s">
        <v>2649</v>
      </c>
      <c r="D471" t="s">
        <v>1791</v>
      </c>
      <c r="E471" t="s">
        <v>3127</v>
      </c>
      <c r="F471" t="s">
        <v>106</v>
      </c>
      <c r="G471" t="s">
        <v>107</v>
      </c>
      <c r="H471" t="s">
        <v>108</v>
      </c>
      <c r="I471" t="str">
        <f>"515-313-7306"</f>
        <v>515-313-7306</v>
      </c>
      <c r="J471" s="11">
        <v>6</v>
      </c>
      <c r="K471" s="11">
        <v>23</v>
      </c>
      <c r="L471" s="11">
        <v>23</v>
      </c>
      <c r="M471" s="11" t="s">
        <v>3051</v>
      </c>
      <c r="N471" s="14">
        <v>43659</v>
      </c>
      <c r="P471" t="s">
        <v>1792</v>
      </c>
      <c r="Q471" t="s">
        <v>145</v>
      </c>
      <c r="R471" t="s">
        <v>187</v>
      </c>
      <c r="T471" t="s">
        <v>60</v>
      </c>
      <c r="U471" t="s">
        <v>18</v>
      </c>
      <c r="V471" s="6" t="s">
        <v>2899</v>
      </c>
      <c r="W471" t="s">
        <v>148</v>
      </c>
      <c r="X471" t="str">
        <f>"712-580-5360"</f>
        <v>712-580-5360</v>
      </c>
      <c r="Z471" t="s">
        <v>116</v>
      </c>
    </row>
    <row r="472" spans="1:26" x14ac:dyDescent="0.25">
      <c r="A472" t="str">
        <f>"93-31"</f>
        <v>93-31</v>
      </c>
      <c r="C472" t="s">
        <v>2820</v>
      </c>
      <c r="D472" t="s">
        <v>1971</v>
      </c>
      <c r="E472" t="s">
        <v>3127</v>
      </c>
      <c r="F472" t="s">
        <v>106</v>
      </c>
      <c r="G472" t="s">
        <v>107</v>
      </c>
      <c r="H472" t="s">
        <v>108</v>
      </c>
      <c r="I472" t="str">
        <f>"515-313-7306"</f>
        <v>515-313-7306</v>
      </c>
      <c r="J472" s="11">
        <v>1</v>
      </c>
      <c r="K472" s="11">
        <v>24</v>
      </c>
      <c r="L472" s="11">
        <v>24</v>
      </c>
      <c r="M472" s="11" t="s">
        <v>3051</v>
      </c>
      <c r="N472" s="14">
        <v>43658</v>
      </c>
      <c r="P472" t="s">
        <v>1792</v>
      </c>
      <c r="Q472" t="s">
        <v>145</v>
      </c>
      <c r="R472" t="s">
        <v>187</v>
      </c>
      <c r="T472" t="s">
        <v>60</v>
      </c>
      <c r="U472" t="s">
        <v>18</v>
      </c>
      <c r="V472" s="6" t="s">
        <v>2899</v>
      </c>
      <c r="W472" t="s">
        <v>148</v>
      </c>
      <c r="X472" t="str">
        <f>"712-580-5360"</f>
        <v>712-580-5360</v>
      </c>
      <c r="Z472" t="s">
        <v>116</v>
      </c>
    </row>
    <row r="473" spans="1:26" x14ac:dyDescent="0.25">
      <c r="A473" t="str">
        <f>"05-02"</f>
        <v>05-02</v>
      </c>
      <c r="C473" t="s">
        <v>2795</v>
      </c>
      <c r="D473" t="s">
        <v>563</v>
      </c>
      <c r="E473" t="s">
        <v>3128</v>
      </c>
      <c r="F473" t="s">
        <v>202</v>
      </c>
      <c r="G473" t="s">
        <v>118</v>
      </c>
      <c r="H473" t="s">
        <v>119</v>
      </c>
      <c r="I473" t="str">
        <f>"515-246-8016"</f>
        <v>515-246-8016</v>
      </c>
      <c r="J473" s="11">
        <v>2</v>
      </c>
      <c r="K473" s="11">
        <v>49</v>
      </c>
      <c r="L473" s="11">
        <v>48</v>
      </c>
      <c r="M473" s="11" t="s">
        <v>3051</v>
      </c>
      <c r="N473" s="14">
        <v>43734</v>
      </c>
      <c r="P473" t="s">
        <v>118</v>
      </c>
      <c r="Q473" t="s">
        <v>119</v>
      </c>
      <c r="R473" t="s">
        <v>121</v>
      </c>
      <c r="S473" t="s">
        <v>100</v>
      </c>
      <c r="T473" t="s">
        <v>60</v>
      </c>
      <c r="U473" t="s">
        <v>18</v>
      </c>
      <c r="V473" s="6" t="s">
        <v>2893</v>
      </c>
      <c r="W473" t="s">
        <v>122</v>
      </c>
      <c r="X473" t="str">
        <f>"515-246-8016"</f>
        <v>515-246-8016</v>
      </c>
      <c r="Y473" t="s">
        <v>21</v>
      </c>
      <c r="Z473" t="s">
        <v>103</v>
      </c>
    </row>
    <row r="474" spans="1:26" x14ac:dyDescent="0.25">
      <c r="A474" t="str">
        <f>"07-08"</f>
        <v>07-08</v>
      </c>
      <c r="C474" t="s">
        <v>2784</v>
      </c>
      <c r="D474" t="s">
        <v>806</v>
      </c>
      <c r="E474" t="s">
        <v>3128</v>
      </c>
      <c r="F474" t="s">
        <v>202</v>
      </c>
      <c r="G474" t="s">
        <v>118</v>
      </c>
      <c r="H474" t="s">
        <v>119</v>
      </c>
      <c r="I474" t="str">
        <f>"515-246-8016"</f>
        <v>515-246-8016</v>
      </c>
      <c r="J474" s="11">
        <v>3</v>
      </c>
      <c r="K474" s="11">
        <v>72</v>
      </c>
      <c r="L474" s="11">
        <v>72</v>
      </c>
      <c r="M474" s="11" t="s">
        <v>3050</v>
      </c>
      <c r="N474" s="14">
        <v>43734</v>
      </c>
      <c r="P474" t="s">
        <v>118</v>
      </c>
      <c r="Q474" t="s">
        <v>119</v>
      </c>
      <c r="R474" t="s">
        <v>121</v>
      </c>
      <c r="S474" t="s">
        <v>100</v>
      </c>
      <c r="T474" t="s">
        <v>60</v>
      </c>
      <c r="U474" t="s">
        <v>18</v>
      </c>
      <c r="V474" s="6" t="s">
        <v>2893</v>
      </c>
      <c r="W474" t="s">
        <v>122</v>
      </c>
      <c r="X474" t="str">
        <f>"515-246-8016"</f>
        <v>515-246-8016</v>
      </c>
      <c r="Y474" t="s">
        <v>21</v>
      </c>
      <c r="Z474" t="s">
        <v>103</v>
      </c>
    </row>
    <row r="475" spans="1:26" x14ac:dyDescent="0.25">
      <c r="A475" t="str">
        <f>"08-05"</f>
        <v>08-05</v>
      </c>
      <c r="C475" t="s">
        <v>2869</v>
      </c>
      <c r="D475" t="s">
        <v>935</v>
      </c>
      <c r="E475" t="s">
        <v>3128</v>
      </c>
      <c r="F475" t="s">
        <v>202</v>
      </c>
      <c r="G475" t="s">
        <v>118</v>
      </c>
      <c r="H475" t="s">
        <v>119</v>
      </c>
      <c r="I475" t="str">
        <f>"515-246-8016"</f>
        <v>515-246-8016</v>
      </c>
      <c r="J475" s="11">
        <v>1</v>
      </c>
      <c r="K475" s="11">
        <v>24</v>
      </c>
      <c r="L475" s="11">
        <v>24</v>
      </c>
      <c r="M475" s="11" t="s">
        <v>3050</v>
      </c>
      <c r="N475" s="14">
        <v>43734</v>
      </c>
      <c r="P475" t="s">
        <v>2870</v>
      </c>
      <c r="Q475" t="s">
        <v>119</v>
      </c>
      <c r="R475" t="s">
        <v>121</v>
      </c>
      <c r="S475" t="s">
        <v>100</v>
      </c>
      <c r="T475" t="s">
        <v>60</v>
      </c>
      <c r="U475" t="s">
        <v>18</v>
      </c>
      <c r="V475" s="6" t="s">
        <v>2893</v>
      </c>
      <c r="W475" t="s">
        <v>122</v>
      </c>
      <c r="X475" t="str">
        <f>"515-246-8016"</f>
        <v>515-246-8016</v>
      </c>
      <c r="Y475" t="s">
        <v>21</v>
      </c>
      <c r="Z475" t="s">
        <v>103</v>
      </c>
    </row>
    <row r="476" spans="1:26" x14ac:dyDescent="0.25">
      <c r="A476" t="str">
        <f>"15-15-11"</f>
        <v>15-15-11</v>
      </c>
      <c r="C476" t="s">
        <v>2595</v>
      </c>
      <c r="D476" t="s">
        <v>1566</v>
      </c>
      <c r="E476" t="s">
        <v>3128</v>
      </c>
      <c r="F476" t="s">
        <v>202</v>
      </c>
      <c r="G476" t="s">
        <v>118</v>
      </c>
      <c r="H476" t="s">
        <v>119</v>
      </c>
      <c r="I476" t="str">
        <f>"515-246-8016"</f>
        <v>515-246-8016</v>
      </c>
      <c r="J476" s="11">
        <v>1</v>
      </c>
      <c r="K476" s="11">
        <v>62</v>
      </c>
      <c r="L476" s="11">
        <v>55</v>
      </c>
      <c r="M476" s="11" t="s">
        <v>3050</v>
      </c>
      <c r="N476" s="14">
        <v>44060</v>
      </c>
      <c r="P476" t="s">
        <v>1567</v>
      </c>
      <c r="Q476" t="s">
        <v>119</v>
      </c>
      <c r="R476" t="s">
        <v>121</v>
      </c>
      <c r="S476" t="s">
        <v>100</v>
      </c>
      <c r="T476" t="s">
        <v>60</v>
      </c>
      <c r="U476" t="s">
        <v>18</v>
      </c>
      <c r="V476" s="6" t="s">
        <v>2893</v>
      </c>
      <c r="W476" t="s">
        <v>122</v>
      </c>
      <c r="X476" t="str">
        <f>"515-246-8016"</f>
        <v>515-246-8016</v>
      </c>
      <c r="Y476" t="s">
        <v>21</v>
      </c>
      <c r="Z476" t="s">
        <v>103</v>
      </c>
    </row>
    <row r="477" spans="1:26" x14ac:dyDescent="0.25">
      <c r="A477" t="s">
        <v>1553</v>
      </c>
      <c r="B477" t="s">
        <v>1553</v>
      </c>
      <c r="C477" t="s">
        <v>2816</v>
      </c>
      <c r="D477" t="s">
        <v>1554</v>
      </c>
      <c r="E477" t="s">
        <v>1768</v>
      </c>
      <c r="F477" t="s">
        <v>1555</v>
      </c>
      <c r="G477" t="s">
        <v>166</v>
      </c>
      <c r="H477" t="s">
        <v>167</v>
      </c>
      <c r="I477" t="str">
        <f>"563-382-8436"</f>
        <v>563-382-8436</v>
      </c>
      <c r="J477" s="11">
        <v>0</v>
      </c>
      <c r="K477" s="11">
        <v>3</v>
      </c>
      <c r="L477" s="11">
        <v>3</v>
      </c>
      <c r="M477" s="11" t="s">
        <v>3050</v>
      </c>
      <c r="N477" s="14">
        <v>43175</v>
      </c>
      <c r="P477" t="s">
        <v>166</v>
      </c>
      <c r="Q477" t="s">
        <v>653</v>
      </c>
      <c r="R477" t="s">
        <v>170</v>
      </c>
      <c r="S477" t="s">
        <v>171</v>
      </c>
      <c r="T477" t="s">
        <v>172</v>
      </c>
      <c r="U477" t="s">
        <v>18</v>
      </c>
      <c r="V477" s="6" t="s">
        <v>2898</v>
      </c>
      <c r="W477" t="s">
        <v>173</v>
      </c>
      <c r="X477" t="str">
        <f>"563-382-8436"</f>
        <v>563-382-8436</v>
      </c>
      <c r="Y477" t="s">
        <v>1556</v>
      </c>
      <c r="Z477" t="s">
        <v>44</v>
      </c>
    </row>
    <row r="478" spans="1:26" x14ac:dyDescent="0.25">
      <c r="A478" t="str">
        <f>"92-22"</f>
        <v>92-22</v>
      </c>
      <c r="C478" t="s">
        <v>2670</v>
      </c>
      <c r="D478" t="s">
        <v>1901</v>
      </c>
      <c r="E478" t="s">
        <v>3129</v>
      </c>
      <c r="F478" t="s">
        <v>1142</v>
      </c>
      <c r="G478" t="s">
        <v>142</v>
      </c>
      <c r="H478" t="s">
        <v>143</v>
      </c>
      <c r="I478" t="str">
        <f>"712-580-5360"</f>
        <v>712-580-5360</v>
      </c>
      <c r="J478" s="11">
        <v>4</v>
      </c>
      <c r="K478" s="11">
        <v>16</v>
      </c>
      <c r="L478" s="11">
        <v>16</v>
      </c>
      <c r="M478" s="11" t="s">
        <v>3051</v>
      </c>
      <c r="N478" s="14">
        <v>43717</v>
      </c>
      <c r="P478" t="s">
        <v>1902</v>
      </c>
      <c r="Q478" t="s">
        <v>145</v>
      </c>
      <c r="R478" t="s">
        <v>146</v>
      </c>
      <c r="T478" t="s">
        <v>147</v>
      </c>
      <c r="U478" t="s">
        <v>18</v>
      </c>
      <c r="V478" s="6" t="s">
        <v>2895</v>
      </c>
      <c r="W478" t="s">
        <v>148</v>
      </c>
      <c r="X478" t="str">
        <f>"712-240-2188"</f>
        <v>712-240-2188</v>
      </c>
      <c r="Z478" t="s">
        <v>116</v>
      </c>
    </row>
    <row r="479" spans="1:26" x14ac:dyDescent="0.25">
      <c r="A479" t="s">
        <v>1343</v>
      </c>
      <c r="B479" t="s">
        <v>1343</v>
      </c>
      <c r="C479" t="s">
        <v>2543</v>
      </c>
      <c r="D479" t="s">
        <v>1344</v>
      </c>
      <c r="E479" t="s">
        <v>1349</v>
      </c>
      <c r="F479" t="s">
        <v>1345</v>
      </c>
      <c r="G479" t="s">
        <v>1346</v>
      </c>
      <c r="H479" t="s">
        <v>1347</v>
      </c>
      <c r="I479" t="str">
        <f>"641-426-0673"</f>
        <v>641-426-0673</v>
      </c>
      <c r="J479" s="11">
        <v>0</v>
      </c>
      <c r="K479" s="11">
        <v>4</v>
      </c>
      <c r="L479" s="11">
        <v>4</v>
      </c>
      <c r="M479" s="11" t="s">
        <v>3050</v>
      </c>
      <c r="N479" s="14">
        <v>43259</v>
      </c>
      <c r="P479" t="s">
        <v>1346</v>
      </c>
      <c r="Q479" t="s">
        <v>1347</v>
      </c>
      <c r="R479" t="s">
        <v>1348</v>
      </c>
      <c r="T479" t="s">
        <v>1349</v>
      </c>
      <c r="U479" t="s">
        <v>18</v>
      </c>
      <c r="V479" s="6" t="s">
        <v>2985</v>
      </c>
      <c r="W479" t="s">
        <v>1350</v>
      </c>
      <c r="X479" t="str">
        <f>"641-426-0673"</f>
        <v>641-426-0673</v>
      </c>
      <c r="Y479" t="s">
        <v>21</v>
      </c>
      <c r="Z479" t="s">
        <v>20</v>
      </c>
    </row>
    <row r="480" spans="1:26" x14ac:dyDescent="0.25">
      <c r="A480" t="str">
        <f>"97-61"</f>
        <v>97-61</v>
      </c>
      <c r="C480" t="s">
        <v>2734</v>
      </c>
      <c r="D480" t="s">
        <v>2136</v>
      </c>
      <c r="E480" t="s">
        <v>3130</v>
      </c>
      <c r="F480" t="s">
        <v>277</v>
      </c>
      <c r="G480" t="s">
        <v>2137</v>
      </c>
      <c r="H480" t="s">
        <v>2138</v>
      </c>
      <c r="I480" t="str">
        <f>"712-358-9019"</f>
        <v>712-358-9019</v>
      </c>
      <c r="J480" s="11">
        <v>2</v>
      </c>
      <c r="K480" s="11">
        <v>16</v>
      </c>
      <c r="L480" s="11">
        <v>16</v>
      </c>
      <c r="M480" s="11" t="s">
        <v>3051</v>
      </c>
      <c r="N480" s="14">
        <v>43363</v>
      </c>
      <c r="P480" t="s">
        <v>2137</v>
      </c>
      <c r="Q480" t="s">
        <v>2138</v>
      </c>
      <c r="R480" t="s">
        <v>2139</v>
      </c>
      <c r="T480" t="s">
        <v>2140</v>
      </c>
      <c r="U480" t="s">
        <v>18</v>
      </c>
      <c r="V480" s="6" t="s">
        <v>3042</v>
      </c>
      <c r="W480" t="s">
        <v>2141</v>
      </c>
      <c r="X480" t="str">
        <f>"712-358-9019"</f>
        <v>712-358-9019</v>
      </c>
      <c r="Z480" t="s">
        <v>20</v>
      </c>
    </row>
    <row r="481" spans="1:26" x14ac:dyDescent="0.25">
      <c r="A481" t="str">
        <f>"91-26"</f>
        <v>91-26</v>
      </c>
      <c r="C481" t="s">
        <v>2659</v>
      </c>
      <c r="D481" t="s">
        <v>1854</v>
      </c>
      <c r="E481" t="s">
        <v>3131</v>
      </c>
      <c r="F481" t="s">
        <v>202</v>
      </c>
      <c r="G481" t="s">
        <v>107</v>
      </c>
      <c r="H481" t="s">
        <v>108</v>
      </c>
      <c r="I481" t="str">
        <f>"515-313-7306"</f>
        <v>515-313-7306</v>
      </c>
      <c r="J481" s="11">
        <v>4</v>
      </c>
      <c r="K481" s="11">
        <v>15</v>
      </c>
      <c r="L481" s="11">
        <v>15</v>
      </c>
      <c r="M481" s="11" t="s">
        <v>3051</v>
      </c>
      <c r="N481" s="14">
        <v>43447</v>
      </c>
      <c r="P481" t="s">
        <v>1792</v>
      </c>
      <c r="Q481" t="s">
        <v>145</v>
      </c>
      <c r="R481" t="s">
        <v>187</v>
      </c>
      <c r="T481" t="s">
        <v>60</v>
      </c>
      <c r="U481" t="s">
        <v>18</v>
      </c>
      <c r="V481" s="6" t="s">
        <v>2899</v>
      </c>
      <c r="W481" t="s">
        <v>148</v>
      </c>
      <c r="X481" t="str">
        <f>"712-580-5360"</f>
        <v>712-580-5360</v>
      </c>
      <c r="Z481" t="s">
        <v>116</v>
      </c>
    </row>
    <row r="482" spans="1:26" x14ac:dyDescent="0.25">
      <c r="A482" t="str">
        <f>"93-51"</f>
        <v>93-51</v>
      </c>
      <c r="B482" t="str">
        <f>"92-300-721-04"</f>
        <v>92-300-721-04</v>
      </c>
      <c r="C482" t="s">
        <v>1985</v>
      </c>
      <c r="D482" t="s">
        <v>1984</v>
      </c>
      <c r="E482" t="s">
        <v>3131</v>
      </c>
      <c r="F482" t="s">
        <v>202</v>
      </c>
      <c r="G482" t="s">
        <v>1985</v>
      </c>
      <c r="H482" t="s">
        <v>1986</v>
      </c>
      <c r="I482" t="str">
        <f>"515-957-3341"</f>
        <v>515-957-3341</v>
      </c>
      <c r="J482" s="11">
        <v>6</v>
      </c>
      <c r="K482" s="11">
        <v>6</v>
      </c>
      <c r="L482" s="11">
        <v>6</v>
      </c>
      <c r="M482" s="11" t="s">
        <v>3051</v>
      </c>
      <c r="N482" s="14">
        <v>42713</v>
      </c>
      <c r="P482" t="s">
        <v>1987</v>
      </c>
      <c r="Q482" t="s">
        <v>1986</v>
      </c>
      <c r="R482" t="s">
        <v>1988</v>
      </c>
      <c r="S482" t="s">
        <v>1989</v>
      </c>
      <c r="T482" t="s">
        <v>1990</v>
      </c>
      <c r="U482" t="s">
        <v>18</v>
      </c>
      <c r="V482" s="6" t="s">
        <v>3037</v>
      </c>
      <c r="W482" t="s">
        <v>1991</v>
      </c>
      <c r="X482" t="str">
        <f>"515-957-3343"</f>
        <v>515-957-3343</v>
      </c>
      <c r="Y482" t="s">
        <v>21</v>
      </c>
      <c r="Z482" t="s">
        <v>44</v>
      </c>
    </row>
    <row r="483" spans="1:26" x14ac:dyDescent="0.25">
      <c r="A483" t="str">
        <f>"96-66"</f>
        <v>96-66</v>
      </c>
      <c r="B483" t="s">
        <v>2095</v>
      </c>
      <c r="C483" t="s">
        <v>2721</v>
      </c>
      <c r="D483" t="s">
        <v>2096</v>
      </c>
      <c r="E483" t="s">
        <v>3132</v>
      </c>
      <c r="F483" t="s">
        <v>732</v>
      </c>
      <c r="G483" t="s">
        <v>142</v>
      </c>
      <c r="H483" t="s">
        <v>143</v>
      </c>
      <c r="I483" t="str">
        <f>"712-580-5360"</f>
        <v>712-580-5360</v>
      </c>
      <c r="J483" s="11">
        <v>2</v>
      </c>
      <c r="K483" s="11">
        <v>16</v>
      </c>
      <c r="L483" s="11">
        <v>16</v>
      </c>
      <c r="M483" s="11" t="s">
        <v>3049</v>
      </c>
      <c r="N483" s="14">
        <v>44193</v>
      </c>
      <c r="P483" t="s">
        <v>2097</v>
      </c>
      <c r="Q483" t="s">
        <v>145</v>
      </c>
      <c r="R483" t="s">
        <v>146</v>
      </c>
      <c r="T483" t="s">
        <v>147</v>
      </c>
      <c r="U483" t="s">
        <v>18</v>
      </c>
      <c r="V483" s="6" t="s">
        <v>2895</v>
      </c>
      <c r="W483" t="s">
        <v>148</v>
      </c>
      <c r="X483" t="str">
        <f>"712-240-2188"</f>
        <v>712-240-2188</v>
      </c>
      <c r="Y483" t="s">
        <v>21</v>
      </c>
      <c r="Z483" t="s">
        <v>116</v>
      </c>
    </row>
    <row r="484" spans="1:26" x14ac:dyDescent="0.25">
      <c r="A484" t="str">
        <f>"13-13-42"</f>
        <v>13-13-42</v>
      </c>
      <c r="B484" t="s">
        <v>1463</v>
      </c>
      <c r="C484" t="s">
        <v>2575</v>
      </c>
      <c r="D484" t="s">
        <v>1464</v>
      </c>
      <c r="E484" t="s">
        <v>3133</v>
      </c>
      <c r="F484" t="s">
        <v>1273</v>
      </c>
      <c r="G484" t="s">
        <v>78</v>
      </c>
      <c r="H484" t="s">
        <v>79</v>
      </c>
      <c r="I484" t="str">
        <f>"515-225-4782"</f>
        <v>515-225-4782</v>
      </c>
      <c r="J484" s="11">
        <v>4</v>
      </c>
      <c r="K484" s="11">
        <v>24</v>
      </c>
      <c r="L484" s="11">
        <v>24</v>
      </c>
      <c r="M484" s="11" t="s">
        <v>3050</v>
      </c>
      <c r="N484" s="14">
        <v>44056</v>
      </c>
      <c r="P484" t="s">
        <v>1458</v>
      </c>
      <c r="Q484" t="s">
        <v>1333</v>
      </c>
      <c r="R484" t="s">
        <v>1459</v>
      </c>
      <c r="T484" t="s">
        <v>147</v>
      </c>
      <c r="U484" t="s">
        <v>18</v>
      </c>
      <c r="V484" s="6" t="s">
        <v>2990</v>
      </c>
      <c r="W484" t="s">
        <v>1334</v>
      </c>
      <c r="X484" t="str">
        <f>"712-262-5640"</f>
        <v>712-262-5640</v>
      </c>
      <c r="Y484" t="s">
        <v>151</v>
      </c>
      <c r="Z484" t="s">
        <v>62</v>
      </c>
    </row>
    <row r="485" spans="1:26" x14ac:dyDescent="0.25">
      <c r="A485" t="str">
        <f>"94-63"</f>
        <v>94-63</v>
      </c>
      <c r="B485" t="s">
        <v>2029</v>
      </c>
      <c r="C485" t="s">
        <v>2655</v>
      </c>
      <c r="D485" t="s">
        <v>2030</v>
      </c>
      <c r="E485" t="s">
        <v>3134</v>
      </c>
      <c r="F485" t="s">
        <v>2031</v>
      </c>
      <c r="G485" t="s">
        <v>55</v>
      </c>
      <c r="H485" t="s">
        <v>56</v>
      </c>
      <c r="I485" t="str">
        <f>"712-262-5965"</f>
        <v>712-262-5965</v>
      </c>
      <c r="J485" s="11">
        <v>1</v>
      </c>
      <c r="K485" s="11">
        <v>16</v>
      </c>
      <c r="L485" s="11">
        <v>16</v>
      </c>
      <c r="M485" s="11" t="s">
        <v>3051</v>
      </c>
      <c r="N485" s="14">
        <v>44124</v>
      </c>
      <c r="P485" t="s">
        <v>2032</v>
      </c>
      <c r="Q485" t="s">
        <v>58</v>
      </c>
      <c r="R485" t="s">
        <v>59</v>
      </c>
      <c r="T485" t="s">
        <v>60</v>
      </c>
      <c r="U485" t="s">
        <v>18</v>
      </c>
      <c r="V485" s="6" t="s">
        <v>2888</v>
      </c>
      <c r="W485" t="s">
        <v>61</v>
      </c>
      <c r="X485" t="str">
        <f>"515-262-5965"</f>
        <v>515-262-5965</v>
      </c>
      <c r="Y485" t="s">
        <v>21</v>
      </c>
      <c r="Z485" t="s">
        <v>62</v>
      </c>
    </row>
    <row r="486" spans="1:26" x14ac:dyDescent="0.25">
      <c r="A486" t="str">
        <f>"98-01"</f>
        <v>98-01</v>
      </c>
      <c r="B486" t="s">
        <v>2151</v>
      </c>
      <c r="C486" t="s">
        <v>2738</v>
      </c>
      <c r="D486" t="s">
        <v>2152</v>
      </c>
      <c r="E486" t="s">
        <v>3135</v>
      </c>
      <c r="F486" t="s">
        <v>1494</v>
      </c>
      <c r="G486" t="s">
        <v>55</v>
      </c>
      <c r="H486" t="s">
        <v>56</v>
      </c>
      <c r="I486" t="str">
        <f>"712-262-5965"</f>
        <v>712-262-5965</v>
      </c>
      <c r="J486" s="11">
        <v>2</v>
      </c>
      <c r="K486" s="11">
        <v>20</v>
      </c>
      <c r="L486" s="11">
        <v>20</v>
      </c>
      <c r="M486" s="11" t="s">
        <v>3051</v>
      </c>
      <c r="N486" s="14">
        <v>43592</v>
      </c>
      <c r="P486" t="s">
        <v>2153</v>
      </c>
      <c r="Q486" t="s">
        <v>58</v>
      </c>
      <c r="R486" t="s">
        <v>59</v>
      </c>
      <c r="T486" t="s">
        <v>60</v>
      </c>
      <c r="U486" t="s">
        <v>18</v>
      </c>
      <c r="V486" s="6" t="s">
        <v>2888</v>
      </c>
      <c r="W486" t="s">
        <v>61</v>
      </c>
      <c r="X486" t="str">
        <f>"515-262-5965"</f>
        <v>515-262-5965</v>
      </c>
      <c r="Y486" t="s">
        <v>21</v>
      </c>
      <c r="Z486" t="s">
        <v>62</v>
      </c>
    </row>
    <row r="487" spans="1:26" x14ac:dyDescent="0.25">
      <c r="A487" t="str">
        <f>"00-21"</f>
        <v>00-21</v>
      </c>
      <c r="B487" t="s">
        <v>67</v>
      </c>
      <c r="C487" t="s">
        <v>2836</v>
      </c>
      <c r="D487" t="s">
        <v>68</v>
      </c>
      <c r="E487" t="s">
        <v>73</v>
      </c>
      <c r="F487" t="s">
        <v>54</v>
      </c>
      <c r="G487" t="s">
        <v>55</v>
      </c>
      <c r="H487" t="s">
        <v>56</v>
      </c>
      <c r="I487" t="str">
        <f>"712-262-5965"</f>
        <v>712-262-5965</v>
      </c>
      <c r="J487" s="11">
        <v>2</v>
      </c>
      <c r="K487" s="11">
        <v>32</v>
      </c>
      <c r="L487" s="11">
        <v>32</v>
      </c>
      <c r="M487" s="11" t="s">
        <v>3149</v>
      </c>
      <c r="N487" s="14">
        <v>44123</v>
      </c>
      <c r="P487" t="s">
        <v>69</v>
      </c>
      <c r="Q487" t="s">
        <v>70</v>
      </c>
      <c r="R487" t="s">
        <v>71</v>
      </c>
      <c r="S487" t="s">
        <v>72</v>
      </c>
      <c r="T487" t="s">
        <v>73</v>
      </c>
      <c r="U487" t="s">
        <v>18</v>
      </c>
      <c r="V487" s="6" t="s">
        <v>2889</v>
      </c>
      <c r="W487" t="s">
        <v>74</v>
      </c>
      <c r="X487" t="str">
        <f>"712-252-5859"</f>
        <v>712-252-5859</v>
      </c>
      <c r="Y487" t="s">
        <v>21</v>
      </c>
      <c r="Z487" t="s">
        <v>62</v>
      </c>
    </row>
    <row r="488" spans="1:26" x14ac:dyDescent="0.25">
      <c r="A488" t="str">
        <f>"00-40"</f>
        <v>00-40</v>
      </c>
      <c r="C488" t="s">
        <v>2330</v>
      </c>
      <c r="D488" t="s">
        <v>134</v>
      </c>
      <c r="E488" t="s">
        <v>73</v>
      </c>
      <c r="F488" t="s">
        <v>54</v>
      </c>
      <c r="G488" t="s">
        <v>135</v>
      </c>
      <c r="H488" t="s">
        <v>136</v>
      </c>
      <c r="I488" t="str">
        <f>"712-252-1861"</f>
        <v>712-252-1861</v>
      </c>
      <c r="J488" s="11">
        <v>1</v>
      </c>
      <c r="K488" s="11">
        <v>22</v>
      </c>
      <c r="L488" s="11">
        <v>22</v>
      </c>
      <c r="M488" s="11" t="s">
        <v>3051</v>
      </c>
      <c r="N488" s="14">
        <v>43997</v>
      </c>
      <c r="P488" t="s">
        <v>135</v>
      </c>
      <c r="Q488" t="s">
        <v>136</v>
      </c>
      <c r="R488" t="s">
        <v>137</v>
      </c>
      <c r="T488" t="s">
        <v>73</v>
      </c>
      <c r="U488" t="s">
        <v>18</v>
      </c>
      <c r="V488" s="6" t="s">
        <v>2889</v>
      </c>
      <c r="W488" t="s">
        <v>138</v>
      </c>
      <c r="X488" t="str">
        <f>"712-252-1861"</f>
        <v>712-252-1861</v>
      </c>
      <c r="Y488" t="s">
        <v>21</v>
      </c>
      <c r="Z488" t="s">
        <v>116</v>
      </c>
    </row>
    <row r="489" spans="1:26" x14ac:dyDescent="0.25">
      <c r="A489" t="str">
        <f>"01-10"</f>
        <v>01-10</v>
      </c>
      <c r="B489" t="s">
        <v>184</v>
      </c>
      <c r="C489" t="s">
        <v>2335</v>
      </c>
      <c r="D489" t="s">
        <v>185</v>
      </c>
      <c r="E489" t="s">
        <v>73</v>
      </c>
      <c r="F489" t="s">
        <v>54</v>
      </c>
      <c r="G489" t="s">
        <v>107</v>
      </c>
      <c r="H489" t="s">
        <v>108</v>
      </c>
      <c r="I489" t="str">
        <f>"515-313-7306"</f>
        <v>515-313-7306</v>
      </c>
      <c r="J489" s="11">
        <v>8</v>
      </c>
      <c r="K489" s="11">
        <v>50</v>
      </c>
      <c r="L489" s="11">
        <v>45</v>
      </c>
      <c r="M489" s="11" t="s">
        <v>3149</v>
      </c>
      <c r="N489" s="14">
        <v>44042</v>
      </c>
      <c r="P489" t="s">
        <v>186</v>
      </c>
      <c r="Q489" t="s">
        <v>145</v>
      </c>
      <c r="R489" t="s">
        <v>187</v>
      </c>
      <c r="T489" t="s">
        <v>60</v>
      </c>
      <c r="U489" t="s">
        <v>18</v>
      </c>
      <c r="V489" s="6" t="s">
        <v>2899</v>
      </c>
      <c r="W489" t="s">
        <v>148</v>
      </c>
      <c r="X489" t="str">
        <f>"712-580-5360"</f>
        <v>712-580-5360</v>
      </c>
      <c r="Y489" t="s">
        <v>21</v>
      </c>
      <c r="Z489" t="s">
        <v>116</v>
      </c>
    </row>
    <row r="490" spans="1:26" x14ac:dyDescent="0.25">
      <c r="A490" t="str">
        <f>"02-08"</f>
        <v>02-08</v>
      </c>
      <c r="B490" t="s">
        <v>256</v>
      </c>
      <c r="C490" t="s">
        <v>2343</v>
      </c>
      <c r="D490" t="s">
        <v>257</v>
      </c>
      <c r="E490" t="s">
        <v>73</v>
      </c>
      <c r="F490" t="s">
        <v>54</v>
      </c>
      <c r="G490" t="s">
        <v>258</v>
      </c>
      <c r="H490" t="s">
        <v>259</v>
      </c>
      <c r="I490" t="str">
        <f>"712-899-0601"</f>
        <v>712-899-0601</v>
      </c>
      <c r="J490" s="11">
        <v>2</v>
      </c>
      <c r="K490" s="11">
        <v>22</v>
      </c>
      <c r="L490" s="11">
        <v>21</v>
      </c>
      <c r="M490" s="11" t="s">
        <v>3049</v>
      </c>
      <c r="N490" s="14">
        <v>43640</v>
      </c>
      <c r="P490" t="s">
        <v>260</v>
      </c>
      <c r="Q490" t="s">
        <v>214</v>
      </c>
      <c r="R490" t="s">
        <v>215</v>
      </c>
      <c r="T490" t="s">
        <v>216</v>
      </c>
      <c r="U490" t="s">
        <v>42</v>
      </c>
      <c r="V490" s="6" t="s">
        <v>2902</v>
      </c>
      <c r="W490" t="s">
        <v>217</v>
      </c>
      <c r="X490" t="str">
        <f>"402-963-9099"</f>
        <v>402-963-9099</v>
      </c>
      <c r="Y490" t="s">
        <v>21</v>
      </c>
      <c r="Z490" t="s">
        <v>103</v>
      </c>
    </row>
    <row r="491" spans="1:26" x14ac:dyDescent="0.25">
      <c r="A491" t="str">
        <f>"04-50"</f>
        <v>04-50</v>
      </c>
      <c r="B491" t="s">
        <v>542</v>
      </c>
      <c r="C491" t="s">
        <v>2391</v>
      </c>
      <c r="D491" t="s">
        <v>543</v>
      </c>
      <c r="E491" t="s">
        <v>73</v>
      </c>
      <c r="F491" t="s">
        <v>54</v>
      </c>
      <c r="G491" t="s">
        <v>544</v>
      </c>
      <c r="H491" t="s">
        <v>545</v>
      </c>
      <c r="I491" t="str">
        <f>"712-255-3665"</f>
        <v>712-255-3665</v>
      </c>
      <c r="J491" s="11">
        <v>5</v>
      </c>
      <c r="K491" s="11">
        <v>32</v>
      </c>
      <c r="L491" s="11">
        <v>32</v>
      </c>
      <c r="M491" s="11" t="s">
        <v>3051</v>
      </c>
      <c r="N491" s="14">
        <v>43727</v>
      </c>
      <c r="P491" t="s">
        <v>546</v>
      </c>
      <c r="Q491" t="s">
        <v>547</v>
      </c>
      <c r="R491" t="s">
        <v>548</v>
      </c>
      <c r="S491" t="s">
        <v>539</v>
      </c>
      <c r="T491" t="s">
        <v>549</v>
      </c>
      <c r="U491" t="s">
        <v>550</v>
      </c>
      <c r="V491" s="6" t="s">
        <v>2930</v>
      </c>
      <c r="W491" t="s">
        <v>551</v>
      </c>
      <c r="X491" t="str">
        <f>"605-275-8033"</f>
        <v>605-275-8033</v>
      </c>
      <c r="Y491" t="s">
        <v>33</v>
      </c>
      <c r="Z491" t="s">
        <v>103</v>
      </c>
    </row>
    <row r="492" spans="1:26" x14ac:dyDescent="0.25">
      <c r="A492" t="str">
        <f>"04-51"</f>
        <v>04-51</v>
      </c>
      <c r="B492" t="s">
        <v>552</v>
      </c>
      <c r="C492" t="s">
        <v>554</v>
      </c>
      <c r="D492" t="s">
        <v>553</v>
      </c>
      <c r="E492" t="s">
        <v>73</v>
      </c>
      <c r="F492" t="s">
        <v>54</v>
      </c>
      <c r="G492" t="s">
        <v>544</v>
      </c>
      <c r="H492" t="s">
        <v>545</v>
      </c>
      <c r="I492" t="str">
        <f>"712-255-3665"</f>
        <v>712-255-3665</v>
      </c>
      <c r="J492" s="11">
        <v>1</v>
      </c>
      <c r="K492" s="11">
        <v>80</v>
      </c>
      <c r="L492" s="11">
        <v>80</v>
      </c>
      <c r="M492" s="11" t="s">
        <v>3051</v>
      </c>
      <c r="N492" s="14">
        <v>43571</v>
      </c>
      <c r="P492" t="s">
        <v>554</v>
      </c>
      <c r="Q492" t="s">
        <v>547</v>
      </c>
      <c r="R492" t="s">
        <v>548</v>
      </c>
      <c r="S492" t="s">
        <v>539</v>
      </c>
      <c r="T492" t="s">
        <v>549</v>
      </c>
      <c r="U492" t="s">
        <v>550</v>
      </c>
      <c r="V492" s="6" t="s">
        <v>2930</v>
      </c>
      <c r="W492" t="s">
        <v>551</v>
      </c>
      <c r="X492" t="str">
        <f>"605-275-8033"</f>
        <v>605-275-8033</v>
      </c>
      <c r="Y492" t="s">
        <v>151</v>
      </c>
      <c r="Z492" t="s">
        <v>103</v>
      </c>
    </row>
    <row r="493" spans="1:26" x14ac:dyDescent="0.25">
      <c r="A493" t="str">
        <f>"05-27"</f>
        <v>05-27</v>
      </c>
      <c r="B493" t="s">
        <v>603</v>
      </c>
      <c r="C493" t="s">
        <v>2842</v>
      </c>
      <c r="D493" t="s">
        <v>604</v>
      </c>
      <c r="E493" t="s">
        <v>73</v>
      </c>
      <c r="F493" t="s">
        <v>54</v>
      </c>
      <c r="G493" t="s">
        <v>380</v>
      </c>
      <c r="H493" t="s">
        <v>335</v>
      </c>
      <c r="I493" t="str">
        <f>"712-546-6003"</f>
        <v>712-546-6003</v>
      </c>
      <c r="J493" s="11">
        <v>1</v>
      </c>
      <c r="K493" s="11">
        <v>60</v>
      </c>
      <c r="L493" s="11">
        <v>42</v>
      </c>
      <c r="M493" s="11" t="s">
        <v>3149</v>
      </c>
      <c r="N493" s="14">
        <v>43998</v>
      </c>
      <c r="P493" t="s">
        <v>605</v>
      </c>
      <c r="Q493" t="s">
        <v>335</v>
      </c>
      <c r="R493" t="s">
        <v>336</v>
      </c>
      <c r="S493" t="s">
        <v>337</v>
      </c>
      <c r="T493" t="s">
        <v>338</v>
      </c>
      <c r="U493" t="s">
        <v>18</v>
      </c>
      <c r="V493" s="6" t="s">
        <v>2913</v>
      </c>
      <c r="W493" t="s">
        <v>343</v>
      </c>
      <c r="X493" t="str">
        <f>"712-546-6003"</f>
        <v>712-546-6003</v>
      </c>
      <c r="Y493" t="s">
        <v>21</v>
      </c>
      <c r="Z493" t="s">
        <v>103</v>
      </c>
    </row>
    <row r="494" spans="1:26" x14ac:dyDescent="0.25">
      <c r="A494" t="str">
        <f>"06-20"</f>
        <v>06-20</v>
      </c>
      <c r="B494" t="s">
        <v>708</v>
      </c>
      <c r="C494" t="s">
        <v>2424</v>
      </c>
      <c r="D494" t="s">
        <v>709</v>
      </c>
      <c r="E494" t="s">
        <v>73</v>
      </c>
      <c r="F494" t="s">
        <v>54</v>
      </c>
      <c r="G494" t="s">
        <v>710</v>
      </c>
      <c r="H494" t="s">
        <v>711</v>
      </c>
      <c r="I494" t="str">
        <f>"605-232-1813"</f>
        <v>605-232-1813</v>
      </c>
      <c r="J494" s="11">
        <v>2</v>
      </c>
      <c r="K494" s="11">
        <v>24</v>
      </c>
      <c r="L494" s="11">
        <v>24</v>
      </c>
      <c r="M494" s="11" t="s">
        <v>3049</v>
      </c>
      <c r="N494" s="14">
        <v>43641</v>
      </c>
      <c r="P494" t="s">
        <v>712</v>
      </c>
      <c r="Q494" t="s">
        <v>713</v>
      </c>
      <c r="R494" t="s">
        <v>714</v>
      </c>
      <c r="S494" t="s">
        <v>715</v>
      </c>
      <c r="T494" t="s">
        <v>73</v>
      </c>
      <c r="U494" t="s">
        <v>18</v>
      </c>
      <c r="V494" s="6" t="s">
        <v>2889</v>
      </c>
      <c r="W494" t="s">
        <v>716</v>
      </c>
      <c r="X494" t="str">
        <f>"712-234-2328"</f>
        <v>712-234-2328</v>
      </c>
      <c r="Y494" t="s">
        <v>21</v>
      </c>
      <c r="Z494" t="s">
        <v>20</v>
      </c>
    </row>
    <row r="495" spans="1:26" x14ac:dyDescent="0.25">
      <c r="A495" t="str">
        <f>"07-42"</f>
        <v>07-42</v>
      </c>
      <c r="C495" t="s">
        <v>2447</v>
      </c>
      <c r="D495" t="s">
        <v>869</v>
      </c>
      <c r="E495" t="s">
        <v>73</v>
      </c>
      <c r="F495" t="s">
        <v>54</v>
      </c>
      <c r="G495" t="s">
        <v>870</v>
      </c>
      <c r="H495" t="s">
        <v>871</v>
      </c>
      <c r="I495" t="str">
        <f>"763-354-5518"</f>
        <v>763-354-5518</v>
      </c>
      <c r="J495" s="11">
        <v>9</v>
      </c>
      <c r="K495" s="11">
        <v>102</v>
      </c>
      <c r="L495" s="11">
        <v>101</v>
      </c>
      <c r="M495" s="11" t="s">
        <v>3050</v>
      </c>
      <c r="N495" s="14">
        <v>43641</v>
      </c>
      <c r="P495" t="s">
        <v>872</v>
      </c>
      <c r="Q495" t="s">
        <v>873</v>
      </c>
      <c r="R495" t="s">
        <v>874</v>
      </c>
      <c r="S495" t="s">
        <v>875</v>
      </c>
      <c r="T495" t="s">
        <v>379</v>
      </c>
      <c r="U495" t="s">
        <v>31</v>
      </c>
      <c r="V495" s="6" t="s">
        <v>2956</v>
      </c>
      <c r="W495" t="s">
        <v>876</v>
      </c>
      <c r="X495" t="str">
        <f>"763-354-5613"</f>
        <v>763-354-5613</v>
      </c>
      <c r="Y495" t="s">
        <v>151</v>
      </c>
      <c r="Z495" t="s">
        <v>44</v>
      </c>
    </row>
    <row r="496" spans="1:26" x14ac:dyDescent="0.25">
      <c r="A496" t="str">
        <f>"09-0916"</f>
        <v>09-0916</v>
      </c>
      <c r="B496" t="s">
        <v>1031</v>
      </c>
      <c r="C496" t="s">
        <v>2481</v>
      </c>
      <c r="D496" t="s">
        <v>1032</v>
      </c>
      <c r="E496" t="s">
        <v>73</v>
      </c>
      <c r="F496" t="s">
        <v>54</v>
      </c>
      <c r="G496" t="s">
        <v>55</v>
      </c>
      <c r="H496" t="s">
        <v>56</v>
      </c>
      <c r="I496" t="str">
        <f>"712-262-5965"</f>
        <v>712-262-5965</v>
      </c>
      <c r="J496" s="11">
        <v>1</v>
      </c>
      <c r="K496" s="11">
        <v>17</v>
      </c>
      <c r="L496" s="11">
        <v>17</v>
      </c>
      <c r="M496" s="11" t="s">
        <v>3049</v>
      </c>
      <c r="N496" s="14">
        <v>43640</v>
      </c>
      <c r="P496" t="s">
        <v>1033</v>
      </c>
      <c r="Q496" t="s">
        <v>1034</v>
      </c>
      <c r="R496" t="s">
        <v>71</v>
      </c>
      <c r="S496" t="s">
        <v>1035</v>
      </c>
      <c r="T496" t="s">
        <v>73</v>
      </c>
      <c r="U496" t="s">
        <v>18</v>
      </c>
      <c r="V496" s="6" t="s">
        <v>2889</v>
      </c>
      <c r="W496" t="s">
        <v>74</v>
      </c>
      <c r="X496" t="str">
        <f>"712-252-5859"</f>
        <v>712-252-5859</v>
      </c>
      <c r="Y496" t="s">
        <v>33</v>
      </c>
      <c r="Z496" t="s">
        <v>62</v>
      </c>
    </row>
    <row r="497" spans="1:26" x14ac:dyDescent="0.25">
      <c r="A497" t="str">
        <f>"12-12-4"</f>
        <v>12-12-4</v>
      </c>
      <c r="C497" t="s">
        <v>2554</v>
      </c>
      <c r="D497" t="s">
        <v>1386</v>
      </c>
      <c r="E497" t="s">
        <v>73</v>
      </c>
      <c r="F497" t="s">
        <v>54</v>
      </c>
      <c r="G497" t="s">
        <v>55</v>
      </c>
      <c r="H497" t="s">
        <v>56</v>
      </c>
      <c r="I497" t="str">
        <f>"712-262-5965"</f>
        <v>712-262-5965</v>
      </c>
      <c r="J497" s="11">
        <v>1</v>
      </c>
      <c r="K497" s="11">
        <v>20</v>
      </c>
      <c r="L497" s="11">
        <v>20</v>
      </c>
      <c r="M497" s="11" t="s">
        <v>3050</v>
      </c>
      <c r="N497" s="14">
        <v>43378</v>
      </c>
      <c r="P497" t="s">
        <v>1387</v>
      </c>
      <c r="Q497" t="s">
        <v>58</v>
      </c>
      <c r="R497" t="s">
        <v>59</v>
      </c>
      <c r="T497" t="s">
        <v>60</v>
      </c>
      <c r="U497" t="s">
        <v>18</v>
      </c>
      <c r="V497" s="6" t="s">
        <v>2888</v>
      </c>
      <c r="W497" t="s">
        <v>61</v>
      </c>
      <c r="X497" t="str">
        <f>"515-262-5965"</f>
        <v>515-262-5965</v>
      </c>
      <c r="Y497" t="s">
        <v>151</v>
      </c>
      <c r="Z497" t="s">
        <v>62</v>
      </c>
    </row>
    <row r="498" spans="1:26" x14ac:dyDescent="0.25">
      <c r="A498" t="str">
        <f>"12-12-5"</f>
        <v>12-12-5</v>
      </c>
      <c r="C498" t="s">
        <v>2557</v>
      </c>
      <c r="D498" t="s">
        <v>1393</v>
      </c>
      <c r="E498" t="s">
        <v>73</v>
      </c>
      <c r="F498" t="s">
        <v>54</v>
      </c>
      <c r="G498" t="s">
        <v>55</v>
      </c>
      <c r="H498" t="s">
        <v>56</v>
      </c>
      <c r="I498" t="str">
        <f>"712-262-5965"</f>
        <v>712-262-5965</v>
      </c>
      <c r="J498" s="11">
        <v>1</v>
      </c>
      <c r="K498" s="11">
        <v>41</v>
      </c>
      <c r="L498" s="11">
        <v>41</v>
      </c>
      <c r="M498" s="11" t="s">
        <v>3050</v>
      </c>
      <c r="N498" s="14">
        <v>43378</v>
      </c>
      <c r="P498" t="s">
        <v>1387</v>
      </c>
      <c r="Q498" t="s">
        <v>58</v>
      </c>
      <c r="R498" t="s">
        <v>59</v>
      </c>
      <c r="T498" t="s">
        <v>60</v>
      </c>
      <c r="U498" t="s">
        <v>18</v>
      </c>
      <c r="V498" s="6" t="s">
        <v>2888</v>
      </c>
      <c r="W498" t="s">
        <v>61</v>
      </c>
      <c r="X498" t="str">
        <f>"515-262-5965"</f>
        <v>515-262-5965</v>
      </c>
      <c r="Y498" t="s">
        <v>151</v>
      </c>
      <c r="Z498" t="s">
        <v>62</v>
      </c>
    </row>
    <row r="499" spans="1:26" x14ac:dyDescent="0.25">
      <c r="A499" t="str">
        <f>"14-14-1"</f>
        <v>14-14-1</v>
      </c>
      <c r="B499" t="s">
        <v>1479</v>
      </c>
      <c r="C499" t="s">
        <v>2813</v>
      </c>
      <c r="D499" t="s">
        <v>1480</v>
      </c>
      <c r="E499" t="s">
        <v>73</v>
      </c>
      <c r="F499" t="s">
        <v>54</v>
      </c>
      <c r="G499" t="s">
        <v>55</v>
      </c>
      <c r="H499" t="s">
        <v>56</v>
      </c>
      <c r="I499" t="str">
        <f>"712-262-5965"</f>
        <v>712-262-5965</v>
      </c>
      <c r="J499" s="11">
        <v>1</v>
      </c>
      <c r="K499" s="11">
        <v>70</v>
      </c>
      <c r="L499" s="11">
        <v>59</v>
      </c>
      <c r="M499" s="11" t="s">
        <v>3149</v>
      </c>
      <c r="N499" s="14">
        <v>44123</v>
      </c>
      <c r="P499" t="s">
        <v>1481</v>
      </c>
      <c r="Q499" t="s">
        <v>58</v>
      </c>
      <c r="R499" t="s">
        <v>59</v>
      </c>
      <c r="T499" t="s">
        <v>60</v>
      </c>
      <c r="U499" t="s">
        <v>18</v>
      </c>
      <c r="V499" s="6" t="s">
        <v>2888</v>
      </c>
      <c r="W499" t="s">
        <v>61</v>
      </c>
      <c r="X499" t="str">
        <f>"515-262-5965"</f>
        <v>515-262-5965</v>
      </c>
      <c r="Y499" t="s">
        <v>33</v>
      </c>
      <c r="Z499" t="s">
        <v>62</v>
      </c>
    </row>
    <row r="500" spans="1:26" x14ac:dyDescent="0.25">
      <c r="A500" t="str">
        <f>"17-01"</f>
        <v>17-01</v>
      </c>
      <c r="C500" t="s">
        <v>2622</v>
      </c>
      <c r="D500" t="s">
        <v>1677</v>
      </c>
      <c r="E500" t="s">
        <v>73</v>
      </c>
      <c r="F500" t="s">
        <v>54</v>
      </c>
      <c r="G500" t="s">
        <v>55</v>
      </c>
      <c r="H500" t="s">
        <v>56</v>
      </c>
      <c r="I500" t="str">
        <f>"712-262-5965"</f>
        <v>712-262-5965</v>
      </c>
      <c r="J500" s="11">
        <v>1</v>
      </c>
      <c r="K500" s="11">
        <v>24</v>
      </c>
      <c r="L500" s="11">
        <v>24</v>
      </c>
      <c r="M500" s="11" t="s">
        <v>3050</v>
      </c>
      <c r="N500" s="14">
        <v>43943</v>
      </c>
      <c r="P500" t="s">
        <v>1678</v>
      </c>
      <c r="Q500" t="s">
        <v>58</v>
      </c>
      <c r="R500" t="s">
        <v>59</v>
      </c>
      <c r="T500" t="s">
        <v>60</v>
      </c>
      <c r="U500" t="s">
        <v>18</v>
      </c>
      <c r="V500" s="6" t="s">
        <v>2888</v>
      </c>
      <c r="W500" t="s">
        <v>61</v>
      </c>
      <c r="X500" t="str">
        <f>"515-262-5965"</f>
        <v>515-262-5965</v>
      </c>
      <c r="Y500" t="s">
        <v>33</v>
      </c>
      <c r="Z500" t="s">
        <v>62</v>
      </c>
    </row>
    <row r="501" spans="1:26" x14ac:dyDescent="0.25">
      <c r="A501" t="str">
        <f>"17-09"</f>
        <v>17-09</v>
      </c>
      <c r="C501" t="s">
        <v>2624</v>
      </c>
      <c r="D501" t="s">
        <v>1685</v>
      </c>
      <c r="E501" t="s">
        <v>73</v>
      </c>
      <c r="F501" t="s">
        <v>54</v>
      </c>
      <c r="G501" t="s">
        <v>1323</v>
      </c>
      <c r="H501" t="s">
        <v>1686</v>
      </c>
      <c r="I501" t="str">
        <f>"402-255-5092"</f>
        <v>402-255-5092</v>
      </c>
      <c r="J501" s="11">
        <v>1</v>
      </c>
      <c r="K501" s="11">
        <v>46</v>
      </c>
      <c r="L501" s="11">
        <v>41</v>
      </c>
      <c r="M501" s="11" t="s">
        <v>3050</v>
      </c>
      <c r="N501" s="14">
        <v>43727</v>
      </c>
      <c r="P501" t="s">
        <v>1687</v>
      </c>
      <c r="Q501" t="s">
        <v>1688</v>
      </c>
      <c r="R501" t="s">
        <v>1689</v>
      </c>
      <c r="T501" t="s">
        <v>1149</v>
      </c>
      <c r="U501" t="s">
        <v>18</v>
      </c>
      <c r="V501" s="6" t="s">
        <v>3011</v>
      </c>
      <c r="W501" t="s">
        <v>1690</v>
      </c>
      <c r="X501" t="str">
        <f>"712-647-3355"</f>
        <v>712-647-3355</v>
      </c>
      <c r="Y501" t="s">
        <v>1013</v>
      </c>
      <c r="Z501" t="s">
        <v>44</v>
      </c>
    </row>
    <row r="502" spans="1:26" x14ac:dyDescent="0.25">
      <c r="A502" t="str">
        <f>"18-11"</f>
        <v>18-11</v>
      </c>
      <c r="C502" t="s">
        <v>2636</v>
      </c>
      <c r="D502" t="s">
        <v>1733</v>
      </c>
      <c r="E502" t="s">
        <v>73</v>
      </c>
      <c r="F502" t="s">
        <v>54</v>
      </c>
      <c r="G502" t="s">
        <v>1323</v>
      </c>
      <c r="H502" t="s">
        <v>1734</v>
      </c>
      <c r="I502" t="str">
        <f>"402-397-4900"</f>
        <v>402-397-4900</v>
      </c>
      <c r="J502" s="11">
        <v>1</v>
      </c>
      <c r="K502" s="11">
        <v>20</v>
      </c>
      <c r="L502" s="11">
        <v>18</v>
      </c>
      <c r="M502" s="11" t="s">
        <v>3050</v>
      </c>
      <c r="N502" s="14">
        <v>44042</v>
      </c>
      <c r="P502" t="s">
        <v>1735</v>
      </c>
      <c r="Q502" t="s">
        <v>1688</v>
      </c>
      <c r="R502" t="s">
        <v>1689</v>
      </c>
      <c r="T502" t="s">
        <v>1149</v>
      </c>
      <c r="U502" t="s">
        <v>18</v>
      </c>
      <c r="V502" s="6" t="s">
        <v>3011</v>
      </c>
      <c r="W502" t="s">
        <v>1690</v>
      </c>
      <c r="X502" t="str">
        <f>"712-647-3355"</f>
        <v>712-647-3355</v>
      </c>
      <c r="Y502" t="s">
        <v>151</v>
      </c>
      <c r="Z502" t="s">
        <v>44</v>
      </c>
    </row>
    <row r="503" spans="1:26" x14ac:dyDescent="0.25">
      <c r="A503" t="str">
        <f>"95-04"</f>
        <v>95-04</v>
      </c>
      <c r="C503" t="s">
        <v>2705</v>
      </c>
      <c r="D503" t="s">
        <v>2033</v>
      </c>
      <c r="E503" t="s">
        <v>73</v>
      </c>
      <c r="F503" t="s">
        <v>54</v>
      </c>
      <c r="G503" t="s">
        <v>2034</v>
      </c>
      <c r="H503" t="s">
        <v>2035</v>
      </c>
      <c r="I503" t="str">
        <f>"712-258-3251"</f>
        <v>712-258-3251</v>
      </c>
      <c r="J503" s="11">
        <v>9</v>
      </c>
      <c r="K503" s="11">
        <v>204</v>
      </c>
      <c r="L503" s="11">
        <v>41</v>
      </c>
      <c r="M503" s="11" t="s">
        <v>3051</v>
      </c>
      <c r="N503" s="14">
        <v>42976</v>
      </c>
      <c r="P503" t="s">
        <v>2036</v>
      </c>
      <c r="Q503" t="s">
        <v>2037</v>
      </c>
      <c r="R503" t="s">
        <v>2038</v>
      </c>
      <c r="T503" t="s">
        <v>73</v>
      </c>
      <c r="U503" t="s">
        <v>18</v>
      </c>
      <c r="V503" s="6" t="s">
        <v>2889</v>
      </c>
      <c r="W503" t="s">
        <v>2039</v>
      </c>
      <c r="X503" t="str">
        <f>"712-258-3251"</f>
        <v>712-258-3251</v>
      </c>
      <c r="Z503" t="s">
        <v>44</v>
      </c>
    </row>
    <row r="504" spans="1:26" x14ac:dyDescent="0.25">
      <c r="A504" t="str">
        <f>"98-04"</f>
        <v>98-04</v>
      </c>
      <c r="B504" t="s">
        <v>2157</v>
      </c>
      <c r="C504" t="s">
        <v>2740</v>
      </c>
      <c r="D504" t="s">
        <v>2158</v>
      </c>
      <c r="E504" t="s">
        <v>73</v>
      </c>
      <c r="F504" t="s">
        <v>54</v>
      </c>
      <c r="G504" t="s">
        <v>55</v>
      </c>
      <c r="H504" t="s">
        <v>56</v>
      </c>
      <c r="I504" t="str">
        <f>"712-262-5965"</f>
        <v>712-262-5965</v>
      </c>
      <c r="J504" s="11">
        <v>1</v>
      </c>
      <c r="K504" s="11">
        <v>17</v>
      </c>
      <c r="L504" s="11">
        <v>17</v>
      </c>
      <c r="M504" s="11" t="s">
        <v>3051</v>
      </c>
      <c r="N504" s="14">
        <v>43998</v>
      </c>
      <c r="P504" t="s">
        <v>2159</v>
      </c>
      <c r="Q504" t="s">
        <v>58</v>
      </c>
      <c r="R504" t="s">
        <v>59</v>
      </c>
      <c r="T504" t="s">
        <v>60</v>
      </c>
      <c r="U504" t="s">
        <v>18</v>
      </c>
      <c r="V504" s="6" t="s">
        <v>2888</v>
      </c>
      <c r="W504" t="s">
        <v>61</v>
      </c>
      <c r="X504" t="str">
        <f>"515-262-5965"</f>
        <v>515-262-5965</v>
      </c>
      <c r="Y504" t="s">
        <v>151</v>
      </c>
      <c r="Z504" t="s">
        <v>62</v>
      </c>
    </row>
    <row r="505" spans="1:26" x14ac:dyDescent="0.25">
      <c r="A505" t="str">
        <f>"98-08"</f>
        <v>98-08</v>
      </c>
      <c r="B505" t="s">
        <v>2164</v>
      </c>
      <c r="C505" t="s">
        <v>2742</v>
      </c>
      <c r="D505" t="s">
        <v>2165</v>
      </c>
      <c r="E505" t="s">
        <v>73</v>
      </c>
      <c r="F505" t="s">
        <v>54</v>
      </c>
      <c r="G505" t="s">
        <v>55</v>
      </c>
      <c r="H505" t="s">
        <v>56</v>
      </c>
      <c r="I505" t="str">
        <f>"712-262-5965"</f>
        <v>712-262-5965</v>
      </c>
      <c r="J505" s="11">
        <v>2</v>
      </c>
      <c r="K505" s="11">
        <v>6</v>
      </c>
      <c r="L505" s="11">
        <v>6</v>
      </c>
      <c r="M505" s="11" t="s">
        <v>3051</v>
      </c>
      <c r="N505" s="14">
        <v>43258</v>
      </c>
      <c r="P505" t="s">
        <v>2166</v>
      </c>
      <c r="Q505" t="s">
        <v>58</v>
      </c>
      <c r="R505" t="s">
        <v>59</v>
      </c>
      <c r="T505" t="s">
        <v>60</v>
      </c>
      <c r="U505" t="s">
        <v>18</v>
      </c>
      <c r="V505" s="6" t="s">
        <v>2888</v>
      </c>
      <c r="W505" t="s">
        <v>61</v>
      </c>
      <c r="X505" t="str">
        <f>"515-262-5965"</f>
        <v>515-262-5965</v>
      </c>
      <c r="Y505" t="s">
        <v>21</v>
      </c>
      <c r="Z505" t="s">
        <v>62</v>
      </c>
    </row>
    <row r="506" spans="1:26" x14ac:dyDescent="0.25">
      <c r="A506" t="str">
        <f>"98-43"</f>
        <v>98-43</v>
      </c>
      <c r="C506" t="s">
        <v>2753</v>
      </c>
      <c r="D506" t="s">
        <v>2204</v>
      </c>
      <c r="E506" t="s">
        <v>73</v>
      </c>
      <c r="F506" t="s">
        <v>54</v>
      </c>
      <c r="G506" t="s">
        <v>258</v>
      </c>
      <c r="H506" t="s">
        <v>259</v>
      </c>
      <c r="I506" t="str">
        <f>"712-899-0601"</f>
        <v>712-899-0601</v>
      </c>
      <c r="J506" s="11">
        <v>2</v>
      </c>
      <c r="K506" s="11">
        <v>24</v>
      </c>
      <c r="L506" s="11">
        <v>24</v>
      </c>
      <c r="M506" s="11" t="s">
        <v>3051</v>
      </c>
      <c r="N506" s="14">
        <v>43378</v>
      </c>
      <c r="P506" t="s">
        <v>258</v>
      </c>
      <c r="Q506" t="s">
        <v>259</v>
      </c>
      <c r="R506" t="s">
        <v>2205</v>
      </c>
      <c r="T506" t="s">
        <v>73</v>
      </c>
      <c r="U506" t="s">
        <v>18</v>
      </c>
      <c r="V506" s="6" t="s">
        <v>3046</v>
      </c>
      <c r="W506" t="s">
        <v>2206</v>
      </c>
      <c r="X506" t="str">
        <f>"712-899-0601"</f>
        <v>712-899-0601</v>
      </c>
      <c r="Z506" t="s">
        <v>103</v>
      </c>
    </row>
    <row r="507" spans="1:26" x14ac:dyDescent="0.25">
      <c r="A507" t="str">
        <f>"99-74"</f>
        <v>99-74</v>
      </c>
      <c r="B507" t="s">
        <v>2280</v>
      </c>
      <c r="C507" t="s">
        <v>2776</v>
      </c>
      <c r="D507" t="s">
        <v>2281</v>
      </c>
      <c r="E507" t="s">
        <v>73</v>
      </c>
      <c r="F507" t="s">
        <v>54</v>
      </c>
      <c r="G507" t="s">
        <v>544</v>
      </c>
      <c r="H507" t="s">
        <v>545</v>
      </c>
      <c r="I507" t="str">
        <f>"712-255-3665"</f>
        <v>712-255-3665</v>
      </c>
      <c r="J507" s="11">
        <v>2</v>
      </c>
      <c r="K507" s="11">
        <v>64</v>
      </c>
      <c r="L507" s="11">
        <v>64</v>
      </c>
      <c r="M507" s="11" t="s">
        <v>3149</v>
      </c>
      <c r="N507" s="14">
        <v>43997</v>
      </c>
      <c r="P507" t="s">
        <v>2282</v>
      </c>
      <c r="Q507" t="s">
        <v>2283</v>
      </c>
      <c r="R507" t="s">
        <v>2284</v>
      </c>
      <c r="S507" t="s">
        <v>715</v>
      </c>
      <c r="T507" t="s">
        <v>73</v>
      </c>
      <c r="U507" t="s">
        <v>18</v>
      </c>
      <c r="V507" s="6" t="s">
        <v>2889</v>
      </c>
      <c r="W507" t="s">
        <v>2285</v>
      </c>
      <c r="X507" t="str">
        <f>"712-252-2201"</f>
        <v>712-252-2201</v>
      </c>
      <c r="Y507" t="s">
        <v>21</v>
      </c>
      <c r="Z507" t="s">
        <v>103</v>
      </c>
    </row>
    <row r="508" spans="1:26" x14ac:dyDescent="0.25">
      <c r="A508" t="str">
        <f>"99-75"</f>
        <v>99-75</v>
      </c>
      <c r="C508" t="s">
        <v>2777</v>
      </c>
      <c r="D508" t="s">
        <v>2286</v>
      </c>
      <c r="E508" t="s">
        <v>73</v>
      </c>
      <c r="F508" t="s">
        <v>54</v>
      </c>
      <c r="G508" t="s">
        <v>544</v>
      </c>
      <c r="H508" t="s">
        <v>545</v>
      </c>
      <c r="I508" t="str">
        <f>"712-255-3665"</f>
        <v>712-255-3665</v>
      </c>
      <c r="J508" s="11">
        <v>2</v>
      </c>
      <c r="K508" s="11">
        <v>86</v>
      </c>
      <c r="L508" s="11">
        <v>85</v>
      </c>
      <c r="M508" s="11" t="s">
        <v>3051</v>
      </c>
      <c r="N508" s="14">
        <v>43571</v>
      </c>
      <c r="P508" t="s">
        <v>2287</v>
      </c>
      <c r="Q508" t="s">
        <v>2283</v>
      </c>
      <c r="R508" t="s">
        <v>2284</v>
      </c>
      <c r="S508" t="s">
        <v>715</v>
      </c>
      <c r="T508" t="s">
        <v>73</v>
      </c>
      <c r="U508" t="s">
        <v>18</v>
      </c>
      <c r="V508" s="6" t="s">
        <v>2889</v>
      </c>
      <c r="W508" t="s">
        <v>2285</v>
      </c>
      <c r="X508" t="str">
        <f>"712-252-2201"</f>
        <v>712-252-2201</v>
      </c>
      <c r="Y508" t="s">
        <v>33</v>
      </c>
      <c r="Z508" t="s">
        <v>103</v>
      </c>
    </row>
    <row r="509" spans="1:26" x14ac:dyDescent="0.25">
      <c r="A509" t="s">
        <v>897</v>
      </c>
      <c r="B509" t="s">
        <v>897</v>
      </c>
      <c r="C509" t="s">
        <v>2451</v>
      </c>
      <c r="D509" t="s">
        <v>898</v>
      </c>
      <c r="E509" t="s">
        <v>904</v>
      </c>
      <c r="F509" t="s">
        <v>77</v>
      </c>
      <c r="G509" t="s">
        <v>899</v>
      </c>
      <c r="H509" t="s">
        <v>900</v>
      </c>
      <c r="I509" t="str">
        <f>"319-480-4380"</f>
        <v>319-480-4380</v>
      </c>
      <c r="J509" s="11">
        <v>0</v>
      </c>
      <c r="K509" s="11">
        <v>12</v>
      </c>
      <c r="L509" s="11">
        <v>12</v>
      </c>
      <c r="M509" s="11" t="s">
        <v>3049</v>
      </c>
      <c r="N509" s="14">
        <v>43752</v>
      </c>
      <c r="P509" t="s">
        <v>901</v>
      </c>
      <c r="Q509" t="s">
        <v>902</v>
      </c>
      <c r="R509" t="s">
        <v>903</v>
      </c>
      <c r="T509" t="s">
        <v>904</v>
      </c>
      <c r="U509" t="s">
        <v>18</v>
      </c>
      <c r="V509" s="6" t="s">
        <v>2959</v>
      </c>
      <c r="W509" t="s">
        <v>905</v>
      </c>
      <c r="X509" t="str">
        <f>"319-360-4863"</f>
        <v>319-360-4863</v>
      </c>
      <c r="Y509" t="s">
        <v>21</v>
      </c>
      <c r="Z509" t="s">
        <v>103</v>
      </c>
    </row>
    <row r="510" spans="1:26" x14ac:dyDescent="0.25">
      <c r="A510" t="str">
        <f>"00-42"</f>
        <v>00-42</v>
      </c>
      <c r="B510" t="s">
        <v>139</v>
      </c>
      <c r="C510" t="s">
        <v>2331</v>
      </c>
      <c r="D510" t="s">
        <v>140</v>
      </c>
      <c r="E510" t="s">
        <v>147</v>
      </c>
      <c r="F510" t="s">
        <v>141</v>
      </c>
      <c r="G510" t="s">
        <v>142</v>
      </c>
      <c r="H510" t="s">
        <v>143</v>
      </c>
      <c r="I510" t="str">
        <f>"712-580-5360"</f>
        <v>712-580-5360</v>
      </c>
      <c r="J510" s="11">
        <v>3</v>
      </c>
      <c r="K510" s="11">
        <v>24</v>
      </c>
      <c r="L510" s="11">
        <v>24</v>
      </c>
      <c r="M510" s="11" t="s">
        <v>3049</v>
      </c>
      <c r="N510" s="14">
        <v>43700</v>
      </c>
      <c r="P510" t="s">
        <v>144</v>
      </c>
      <c r="Q510" t="s">
        <v>145</v>
      </c>
      <c r="R510" t="s">
        <v>146</v>
      </c>
      <c r="T510" t="s">
        <v>147</v>
      </c>
      <c r="U510" t="s">
        <v>18</v>
      </c>
      <c r="V510" s="6" t="s">
        <v>2895</v>
      </c>
      <c r="W510" t="s">
        <v>148</v>
      </c>
      <c r="X510" t="str">
        <f>"712-240-2188"</f>
        <v>712-240-2188</v>
      </c>
      <c r="Y510" t="s">
        <v>21</v>
      </c>
      <c r="Z510" t="s">
        <v>116</v>
      </c>
    </row>
    <row r="511" spans="1:26" x14ac:dyDescent="0.25">
      <c r="A511" t="str">
        <f>"08-12"</f>
        <v>08-12</v>
      </c>
      <c r="B511" t="s">
        <v>987</v>
      </c>
      <c r="C511" t="s">
        <v>2471</v>
      </c>
      <c r="D511" t="s">
        <v>988</v>
      </c>
      <c r="E511" t="s">
        <v>147</v>
      </c>
      <c r="F511" t="s">
        <v>141</v>
      </c>
      <c r="G511" t="s">
        <v>55</v>
      </c>
      <c r="H511" t="s">
        <v>56</v>
      </c>
      <c r="I511" t="str">
        <f>"712-262-5965"</f>
        <v>712-262-5965</v>
      </c>
      <c r="J511" s="11">
        <v>1</v>
      </c>
      <c r="K511" s="11">
        <v>16</v>
      </c>
      <c r="L511" s="11">
        <v>16</v>
      </c>
      <c r="M511" s="11" t="s">
        <v>3049</v>
      </c>
      <c r="N511" s="14">
        <v>43776</v>
      </c>
      <c r="P511" t="s">
        <v>989</v>
      </c>
      <c r="Q511" t="s">
        <v>58</v>
      </c>
      <c r="R511" t="s">
        <v>59</v>
      </c>
      <c r="T511" t="s">
        <v>60</v>
      </c>
      <c r="U511" t="s">
        <v>18</v>
      </c>
      <c r="V511" s="6" t="s">
        <v>2888</v>
      </c>
      <c r="W511" t="s">
        <v>61</v>
      </c>
      <c r="X511" t="str">
        <f>"515-262-5965"</f>
        <v>515-262-5965</v>
      </c>
      <c r="Y511" t="s">
        <v>151</v>
      </c>
      <c r="Z511" t="s">
        <v>62</v>
      </c>
    </row>
    <row r="512" spans="1:26" x14ac:dyDescent="0.25">
      <c r="A512" t="s">
        <v>1242</v>
      </c>
      <c r="B512" t="s">
        <v>1242</v>
      </c>
      <c r="C512" t="s">
        <v>1244</v>
      </c>
      <c r="D512" t="s">
        <v>1243</v>
      </c>
      <c r="E512" t="s">
        <v>147</v>
      </c>
      <c r="F512" t="s">
        <v>141</v>
      </c>
      <c r="G512" t="s">
        <v>55</v>
      </c>
      <c r="H512" t="s">
        <v>56</v>
      </c>
      <c r="I512" t="str">
        <f>"712-262-5965"</f>
        <v>712-262-5965</v>
      </c>
      <c r="J512" s="11">
        <v>0</v>
      </c>
      <c r="K512" s="11">
        <v>25</v>
      </c>
      <c r="L512" s="11">
        <v>25</v>
      </c>
      <c r="M512" s="11" t="s">
        <v>3049</v>
      </c>
      <c r="N512" s="14">
        <v>43776</v>
      </c>
      <c r="P512" t="s">
        <v>1244</v>
      </c>
      <c r="Q512" t="s">
        <v>1245</v>
      </c>
      <c r="R512" t="s">
        <v>1246</v>
      </c>
      <c r="S512" t="s">
        <v>1247</v>
      </c>
      <c r="T512" t="s">
        <v>1248</v>
      </c>
      <c r="U512" t="s">
        <v>18</v>
      </c>
      <c r="V512" s="6" t="s">
        <v>2980</v>
      </c>
      <c r="W512" t="s">
        <v>1249</v>
      </c>
      <c r="X512" t="str">
        <f>"712-859-3885"</f>
        <v>712-859-3885</v>
      </c>
      <c r="Y512" t="s">
        <v>151</v>
      </c>
      <c r="Z512" t="s">
        <v>62</v>
      </c>
    </row>
    <row r="513" spans="1:26" x14ac:dyDescent="0.25">
      <c r="A513" t="str">
        <f>"15-15-1"</f>
        <v>15-15-1</v>
      </c>
      <c r="B513" t="s">
        <v>1563</v>
      </c>
      <c r="C513" t="s">
        <v>2594</v>
      </c>
      <c r="D513" t="s">
        <v>1564</v>
      </c>
      <c r="E513" t="s">
        <v>147</v>
      </c>
      <c r="F513" t="s">
        <v>141</v>
      </c>
      <c r="G513" t="s">
        <v>55</v>
      </c>
      <c r="H513" t="s">
        <v>56</v>
      </c>
      <c r="I513" t="str">
        <f>"712-262-5965"</f>
        <v>712-262-5965</v>
      </c>
      <c r="J513" s="11">
        <v>1</v>
      </c>
      <c r="K513" s="11">
        <v>30</v>
      </c>
      <c r="L513" s="11">
        <v>27</v>
      </c>
      <c r="M513" s="11" t="s">
        <v>3149</v>
      </c>
      <c r="N513" s="14">
        <v>44137</v>
      </c>
      <c r="P513" t="s">
        <v>1565</v>
      </c>
      <c r="Q513" t="s">
        <v>1333</v>
      </c>
      <c r="R513" t="s">
        <v>59</v>
      </c>
      <c r="T513" t="s">
        <v>60</v>
      </c>
      <c r="U513" t="s">
        <v>18</v>
      </c>
      <c r="V513" s="6" t="s">
        <v>2888</v>
      </c>
      <c r="W513" t="s">
        <v>61</v>
      </c>
      <c r="X513" t="str">
        <f>"515-262-5965"</f>
        <v>515-262-5965</v>
      </c>
      <c r="Y513" t="s">
        <v>21</v>
      </c>
      <c r="Z513" t="s">
        <v>62</v>
      </c>
    </row>
    <row r="514" spans="1:26" x14ac:dyDescent="0.25">
      <c r="A514" t="s">
        <v>3185</v>
      </c>
      <c r="C514" t="s">
        <v>3186</v>
      </c>
      <c r="D514" t="s">
        <v>3187</v>
      </c>
      <c r="E514" t="s">
        <v>147</v>
      </c>
      <c r="F514" t="s">
        <v>141</v>
      </c>
      <c r="G514" t="s">
        <v>55</v>
      </c>
      <c r="H514" t="s">
        <v>56</v>
      </c>
      <c r="I514" t="str">
        <f>"712-262-5965"</f>
        <v>712-262-5965</v>
      </c>
      <c r="J514" s="11">
        <v>1</v>
      </c>
      <c r="K514" s="11">
        <v>91</v>
      </c>
      <c r="L514" s="11">
        <v>91</v>
      </c>
      <c r="M514" s="11" t="s">
        <v>3050</v>
      </c>
      <c r="N514" s="15" t="s">
        <v>3158</v>
      </c>
      <c r="P514" t="s">
        <v>3191</v>
      </c>
      <c r="Q514" t="s">
        <v>58</v>
      </c>
      <c r="R514" t="s">
        <v>59</v>
      </c>
      <c r="T514" t="s">
        <v>60</v>
      </c>
      <c r="U514" t="s">
        <v>18</v>
      </c>
      <c r="V514" s="6" t="s">
        <v>2888</v>
      </c>
      <c r="W514" t="s">
        <v>61</v>
      </c>
      <c r="X514" t="str">
        <f>"515-262-5965"</f>
        <v>515-262-5965</v>
      </c>
      <c r="Y514" t="s">
        <v>151</v>
      </c>
      <c r="Z514" t="s">
        <v>62</v>
      </c>
    </row>
    <row r="515" spans="1:26" x14ac:dyDescent="0.25">
      <c r="A515" t="str">
        <f>"00-18"</f>
        <v>00-18</v>
      </c>
      <c r="B515" t="s">
        <v>63</v>
      </c>
      <c r="C515" t="s">
        <v>2323</v>
      </c>
      <c r="D515" t="s">
        <v>64</v>
      </c>
      <c r="E515" t="s">
        <v>3136</v>
      </c>
      <c r="F515" t="s">
        <v>65</v>
      </c>
      <c r="G515" t="s">
        <v>55</v>
      </c>
      <c r="H515" t="s">
        <v>56</v>
      </c>
      <c r="I515" t="str">
        <f>"712-262-5965"</f>
        <v>712-262-5965</v>
      </c>
      <c r="J515" s="11">
        <v>2</v>
      </c>
      <c r="K515" s="11">
        <v>20</v>
      </c>
      <c r="L515" s="11">
        <v>20</v>
      </c>
      <c r="M515" s="11" t="s">
        <v>3049</v>
      </c>
      <c r="N515" s="14">
        <v>44124</v>
      </c>
      <c r="P515" t="s">
        <v>66</v>
      </c>
      <c r="Q515" t="s">
        <v>58</v>
      </c>
      <c r="R515" t="s">
        <v>59</v>
      </c>
      <c r="T515" t="s">
        <v>60</v>
      </c>
      <c r="U515" t="s">
        <v>18</v>
      </c>
      <c r="V515" s="6" t="s">
        <v>2888</v>
      </c>
      <c r="W515" t="s">
        <v>61</v>
      </c>
      <c r="X515" t="str">
        <f>"515-262-5965"</f>
        <v>515-262-5965</v>
      </c>
      <c r="Y515" t="s">
        <v>21</v>
      </c>
      <c r="Z515" t="s">
        <v>62</v>
      </c>
    </row>
    <row r="516" spans="1:26" x14ac:dyDescent="0.25">
      <c r="A516" t="str">
        <f>"05-36"</f>
        <v>05-36</v>
      </c>
      <c r="B516" t="s">
        <v>622</v>
      </c>
      <c r="C516" t="s">
        <v>2405</v>
      </c>
      <c r="D516" t="s">
        <v>623</v>
      </c>
      <c r="E516" t="s">
        <v>3136</v>
      </c>
      <c r="F516" t="s">
        <v>65</v>
      </c>
      <c r="G516" t="s">
        <v>55</v>
      </c>
      <c r="H516" t="s">
        <v>56</v>
      </c>
      <c r="I516" t="str">
        <f>"712-262-5965"</f>
        <v>712-262-5965</v>
      </c>
      <c r="J516" s="11">
        <v>1</v>
      </c>
      <c r="K516" s="11">
        <v>14</v>
      </c>
      <c r="L516" s="11">
        <v>14</v>
      </c>
      <c r="M516" s="11" t="s">
        <v>3049</v>
      </c>
      <c r="N516" s="14">
        <v>44124</v>
      </c>
      <c r="P516" t="s">
        <v>624</v>
      </c>
      <c r="Q516" t="s">
        <v>58</v>
      </c>
      <c r="R516" t="s">
        <v>59</v>
      </c>
      <c r="T516" t="s">
        <v>60</v>
      </c>
      <c r="U516" t="s">
        <v>18</v>
      </c>
      <c r="V516" s="6" t="s">
        <v>2888</v>
      </c>
      <c r="W516" t="s">
        <v>61</v>
      </c>
      <c r="X516" t="str">
        <f>"515-262-5965"</f>
        <v>515-262-5965</v>
      </c>
      <c r="Y516" t="s">
        <v>151</v>
      </c>
      <c r="Z516" t="s">
        <v>62</v>
      </c>
    </row>
    <row r="517" spans="1:26" x14ac:dyDescent="0.25">
      <c r="A517" t="str">
        <f>"98-06"</f>
        <v>98-06</v>
      </c>
      <c r="B517" t="s">
        <v>2160</v>
      </c>
      <c r="C517" t="s">
        <v>2741</v>
      </c>
      <c r="D517" t="s">
        <v>2161</v>
      </c>
      <c r="E517" t="s">
        <v>3136</v>
      </c>
      <c r="F517" t="s">
        <v>65</v>
      </c>
      <c r="G517" t="s">
        <v>55</v>
      </c>
      <c r="H517" t="s">
        <v>56</v>
      </c>
      <c r="I517" t="str">
        <f>"712-262-5965"</f>
        <v>712-262-5965</v>
      </c>
      <c r="J517" s="11">
        <v>1</v>
      </c>
      <c r="K517" s="11">
        <v>8</v>
      </c>
      <c r="L517" s="11">
        <v>8</v>
      </c>
      <c r="M517" s="11" t="s">
        <v>3051</v>
      </c>
      <c r="N517" s="14">
        <v>43348</v>
      </c>
      <c r="P517" t="s">
        <v>2162</v>
      </c>
      <c r="Q517" t="s">
        <v>58</v>
      </c>
      <c r="R517" t="s">
        <v>59</v>
      </c>
      <c r="T517" t="s">
        <v>60</v>
      </c>
      <c r="U517" t="s">
        <v>18</v>
      </c>
      <c r="V517" s="6" t="s">
        <v>2888</v>
      </c>
      <c r="W517" t="s">
        <v>61</v>
      </c>
      <c r="X517" t="str">
        <f>"515-262-5965"</f>
        <v>515-262-5965</v>
      </c>
      <c r="Y517" t="s">
        <v>21</v>
      </c>
      <c r="Z517" t="s">
        <v>62</v>
      </c>
    </row>
    <row r="518" spans="1:26" x14ac:dyDescent="0.25">
      <c r="A518" t="s">
        <v>906</v>
      </c>
      <c r="B518" t="s">
        <v>906</v>
      </c>
      <c r="C518" t="s">
        <v>2452</v>
      </c>
      <c r="D518" t="s">
        <v>907</v>
      </c>
      <c r="E518" t="s">
        <v>3137</v>
      </c>
      <c r="F518" t="s">
        <v>908</v>
      </c>
      <c r="G518" t="s">
        <v>909</v>
      </c>
      <c r="H518" t="s">
        <v>910</v>
      </c>
      <c r="I518" t="str">
        <f>"641-732-3337"</f>
        <v>641-732-3337</v>
      </c>
      <c r="J518" s="11">
        <v>0</v>
      </c>
      <c r="K518" s="11">
        <v>10</v>
      </c>
      <c r="L518" s="11">
        <v>10</v>
      </c>
      <c r="M518" s="11" t="s">
        <v>3049</v>
      </c>
      <c r="N518" s="14">
        <v>44186</v>
      </c>
      <c r="P518" t="s">
        <v>911</v>
      </c>
      <c r="Q518" t="s">
        <v>912</v>
      </c>
      <c r="R518" t="s">
        <v>913</v>
      </c>
      <c r="T518" t="s">
        <v>914</v>
      </c>
      <c r="U518" t="s">
        <v>18</v>
      </c>
      <c r="V518" s="6" t="s">
        <v>2960</v>
      </c>
      <c r="W518" t="s">
        <v>915</v>
      </c>
      <c r="X518" t="str">
        <f>"641-220-3714"</f>
        <v>641-220-3714</v>
      </c>
      <c r="Y518" t="s">
        <v>21</v>
      </c>
      <c r="Z518" t="s">
        <v>116</v>
      </c>
    </row>
    <row r="519" spans="1:26" x14ac:dyDescent="0.25">
      <c r="A519" t="s">
        <v>916</v>
      </c>
      <c r="B519" t="s">
        <v>916</v>
      </c>
      <c r="C519" t="s">
        <v>2453</v>
      </c>
      <c r="D519" t="s">
        <v>917</v>
      </c>
      <c r="E519" t="s">
        <v>3138</v>
      </c>
      <c r="F519" t="s">
        <v>190</v>
      </c>
      <c r="G519" t="s">
        <v>918</v>
      </c>
      <c r="H519" t="s">
        <v>919</v>
      </c>
      <c r="I519" t="str">
        <f>"641-485-3959"</f>
        <v>641-485-3959</v>
      </c>
      <c r="J519" s="11">
        <v>0</v>
      </c>
      <c r="K519" s="11">
        <v>2</v>
      </c>
      <c r="L519" s="11">
        <v>2</v>
      </c>
      <c r="M519" s="11" t="s">
        <v>3050</v>
      </c>
      <c r="N519" s="14">
        <v>43196</v>
      </c>
      <c r="P519" t="s">
        <v>918</v>
      </c>
      <c r="Q519" t="s">
        <v>919</v>
      </c>
      <c r="R519" t="s">
        <v>920</v>
      </c>
      <c r="S519" t="s">
        <v>921</v>
      </c>
      <c r="T519" t="s">
        <v>922</v>
      </c>
      <c r="U519" t="s">
        <v>923</v>
      </c>
      <c r="V519" s="6" t="s">
        <v>2961</v>
      </c>
      <c r="W519" t="s">
        <v>924</v>
      </c>
      <c r="X519" t="str">
        <f>"641-485-3959"</f>
        <v>641-485-3959</v>
      </c>
      <c r="Y519" t="s">
        <v>21</v>
      </c>
      <c r="Z519" t="s">
        <v>116</v>
      </c>
    </row>
    <row r="520" spans="1:26" x14ac:dyDescent="0.25">
      <c r="A520" t="str">
        <f>"10-10-270"</f>
        <v>10-10-270</v>
      </c>
      <c r="C520" t="s">
        <v>2520</v>
      </c>
      <c r="D520" t="s">
        <v>1215</v>
      </c>
      <c r="E520" t="s">
        <v>3138</v>
      </c>
      <c r="F520" t="s">
        <v>190</v>
      </c>
      <c r="G520" t="s">
        <v>107</v>
      </c>
      <c r="H520" t="s">
        <v>108</v>
      </c>
      <c r="I520" t="str">
        <f>"515-313-7306"</f>
        <v>515-313-7306</v>
      </c>
      <c r="J520" s="11">
        <v>4</v>
      </c>
      <c r="K520" s="11">
        <v>24</v>
      </c>
      <c r="L520" s="11">
        <v>24</v>
      </c>
      <c r="M520" s="11" t="s">
        <v>3050</v>
      </c>
      <c r="N520" s="14">
        <v>43684</v>
      </c>
      <c r="P520" t="s">
        <v>1216</v>
      </c>
      <c r="Q520" t="s">
        <v>145</v>
      </c>
      <c r="R520" t="s">
        <v>187</v>
      </c>
      <c r="T520" t="s">
        <v>60</v>
      </c>
      <c r="U520" t="s">
        <v>18</v>
      </c>
      <c r="V520" s="6" t="s">
        <v>2899</v>
      </c>
      <c r="W520" t="s">
        <v>148</v>
      </c>
      <c r="X520" t="str">
        <f>"712-580-5360"</f>
        <v>712-580-5360</v>
      </c>
      <c r="Y520" t="s">
        <v>151</v>
      </c>
      <c r="Z520" t="s">
        <v>116</v>
      </c>
    </row>
    <row r="521" spans="1:26" x14ac:dyDescent="0.25">
      <c r="A521" t="str">
        <f>"05-25"</f>
        <v>05-25</v>
      </c>
      <c r="C521" t="s">
        <v>2399</v>
      </c>
      <c r="D521" t="s">
        <v>596</v>
      </c>
      <c r="E521" t="s">
        <v>3139</v>
      </c>
      <c r="F521" t="s">
        <v>597</v>
      </c>
      <c r="G521" t="s">
        <v>78</v>
      </c>
      <c r="H521" t="s">
        <v>79</v>
      </c>
      <c r="I521" t="str">
        <f>"515-225-4782"</f>
        <v>515-225-4782</v>
      </c>
      <c r="J521" s="11">
        <v>2</v>
      </c>
      <c r="K521" s="11">
        <v>24</v>
      </c>
      <c r="L521" s="11">
        <v>24</v>
      </c>
      <c r="M521" s="11" t="s">
        <v>3051</v>
      </c>
      <c r="N521" s="14">
        <v>43348</v>
      </c>
      <c r="P521" t="s">
        <v>598</v>
      </c>
      <c r="Q521" t="s">
        <v>599</v>
      </c>
      <c r="R521" t="s">
        <v>600</v>
      </c>
      <c r="S521" t="s">
        <v>601</v>
      </c>
      <c r="T521" t="s">
        <v>216</v>
      </c>
      <c r="U521" t="s">
        <v>42</v>
      </c>
      <c r="V521" s="6" t="s">
        <v>2934</v>
      </c>
      <c r="W521" t="s">
        <v>602</v>
      </c>
      <c r="X521" t="str">
        <f>"402-334-8899"</f>
        <v>402-334-8899</v>
      </c>
      <c r="Y521" t="s">
        <v>151</v>
      </c>
      <c r="Z521" t="s">
        <v>62</v>
      </c>
    </row>
    <row r="522" spans="1:26" x14ac:dyDescent="0.25">
      <c r="A522" t="str">
        <f>"13-13-25"</f>
        <v>13-13-25</v>
      </c>
      <c r="C522" t="s">
        <v>2568</v>
      </c>
      <c r="D522" t="s">
        <v>1439</v>
      </c>
      <c r="E522" t="s">
        <v>3139</v>
      </c>
      <c r="F522" t="s">
        <v>597</v>
      </c>
      <c r="G522" t="s">
        <v>1221</v>
      </c>
      <c r="H522" t="s">
        <v>1222</v>
      </c>
      <c r="I522" t="str">
        <f>"316-263-2215"</f>
        <v>316-263-2215</v>
      </c>
      <c r="J522" s="11">
        <v>2</v>
      </c>
      <c r="K522" s="11">
        <v>32</v>
      </c>
      <c r="L522" s="11">
        <v>31</v>
      </c>
      <c r="M522" s="11" t="s">
        <v>3050</v>
      </c>
      <c r="N522" s="14">
        <v>43382</v>
      </c>
      <c r="P522" t="s">
        <v>1440</v>
      </c>
      <c r="Q522" t="s">
        <v>1435</v>
      </c>
      <c r="R522" t="s">
        <v>1436</v>
      </c>
      <c r="S522" t="s">
        <v>100</v>
      </c>
      <c r="T522" t="s">
        <v>1437</v>
      </c>
      <c r="U522" t="s">
        <v>1196</v>
      </c>
      <c r="V522" s="6" t="s">
        <v>2988</v>
      </c>
      <c r="W522" t="s">
        <v>1438</v>
      </c>
      <c r="X522" t="str">
        <f>"913-396-6310"</f>
        <v>913-396-6310</v>
      </c>
      <c r="Y522" t="s">
        <v>21</v>
      </c>
      <c r="Z522" t="s">
        <v>20</v>
      </c>
    </row>
    <row r="523" spans="1:26" x14ac:dyDescent="0.25">
      <c r="A523" t="str">
        <f>"13-13-31"</f>
        <v>13-13-31</v>
      </c>
      <c r="C523" t="s">
        <v>2571</v>
      </c>
      <c r="D523" t="s">
        <v>1445</v>
      </c>
      <c r="E523" t="s">
        <v>3139</v>
      </c>
      <c r="F523" t="s">
        <v>597</v>
      </c>
      <c r="G523" t="s">
        <v>1446</v>
      </c>
      <c r="H523" t="s">
        <v>1447</v>
      </c>
      <c r="I523" t="str">
        <f>"507-625-5573"</f>
        <v>507-625-5573</v>
      </c>
      <c r="J523" s="11">
        <v>8</v>
      </c>
      <c r="K523" s="11">
        <v>42</v>
      </c>
      <c r="L523" s="11">
        <v>42</v>
      </c>
      <c r="M523" s="11" t="s">
        <v>3050</v>
      </c>
      <c r="N523" s="14">
        <v>43873</v>
      </c>
      <c r="P523" t="s">
        <v>1448</v>
      </c>
      <c r="Q523" t="s">
        <v>1449</v>
      </c>
      <c r="R523" t="s">
        <v>1450</v>
      </c>
      <c r="T523" t="s">
        <v>1451</v>
      </c>
      <c r="U523" t="s">
        <v>31</v>
      </c>
      <c r="V523" s="6" t="s">
        <v>2989</v>
      </c>
      <c r="W523" t="s">
        <v>1452</v>
      </c>
      <c r="X523" t="str">
        <f>"507-836-1602"</f>
        <v>507-836-1602</v>
      </c>
      <c r="Y523" t="s">
        <v>21</v>
      </c>
      <c r="Z523" t="s">
        <v>116</v>
      </c>
    </row>
    <row r="524" spans="1:26" x14ac:dyDescent="0.25">
      <c r="A524" t="str">
        <f>"95-43"</f>
        <v>95-43</v>
      </c>
      <c r="C524" t="s">
        <v>2710</v>
      </c>
      <c r="D524" t="s">
        <v>2060</v>
      </c>
      <c r="E524" t="s">
        <v>3139</v>
      </c>
      <c r="F524" t="s">
        <v>597</v>
      </c>
      <c r="G524" t="s">
        <v>710</v>
      </c>
      <c r="H524" t="s">
        <v>711</v>
      </c>
      <c r="I524" t="str">
        <f>"605-232-1813"</f>
        <v>605-232-1813</v>
      </c>
      <c r="J524" s="11">
        <v>2</v>
      </c>
      <c r="K524" s="11">
        <v>48</v>
      </c>
      <c r="L524" s="11">
        <v>40</v>
      </c>
      <c r="M524" s="11" t="s">
        <v>3051</v>
      </c>
      <c r="N524" s="14">
        <v>42963</v>
      </c>
      <c r="P524" t="s">
        <v>2061</v>
      </c>
      <c r="Q524" t="s">
        <v>739</v>
      </c>
      <c r="R524" t="s">
        <v>740</v>
      </c>
      <c r="S524" t="s">
        <v>741</v>
      </c>
      <c r="T524" t="s">
        <v>60</v>
      </c>
      <c r="U524" t="s">
        <v>18</v>
      </c>
      <c r="V524" s="6" t="s">
        <v>2944</v>
      </c>
      <c r="W524" t="s">
        <v>742</v>
      </c>
      <c r="X524" t="str">
        <f>"515-707-6042"</f>
        <v>515-707-6042</v>
      </c>
      <c r="Z524" t="s">
        <v>20</v>
      </c>
    </row>
    <row r="525" spans="1:26" x14ac:dyDescent="0.25">
      <c r="A525" t="str">
        <f>"90-28"</f>
        <v>90-28</v>
      </c>
      <c r="C525" t="s">
        <v>2645</v>
      </c>
      <c r="D525" t="s">
        <v>1780</v>
      </c>
      <c r="E525" t="s">
        <v>2297</v>
      </c>
      <c r="F525" t="s">
        <v>351</v>
      </c>
      <c r="G525" t="s">
        <v>142</v>
      </c>
      <c r="H525" t="s">
        <v>143</v>
      </c>
      <c r="I525" t="str">
        <f>"712-580-5360"</f>
        <v>712-580-5360</v>
      </c>
      <c r="J525" s="11">
        <v>2</v>
      </c>
      <c r="K525" s="11">
        <v>24</v>
      </c>
      <c r="L525" s="11">
        <v>24</v>
      </c>
      <c r="M525" s="11" t="s">
        <v>3051</v>
      </c>
      <c r="N525" s="14">
        <v>43682</v>
      </c>
      <c r="P525" t="s">
        <v>1781</v>
      </c>
      <c r="Q525" t="s">
        <v>1188</v>
      </c>
      <c r="R525" t="s">
        <v>1189</v>
      </c>
      <c r="T525" t="s">
        <v>17</v>
      </c>
      <c r="U525" t="s">
        <v>18</v>
      </c>
      <c r="V525" s="6" t="s">
        <v>2975</v>
      </c>
      <c r="W525" t="s">
        <v>1190</v>
      </c>
      <c r="X525" t="str">
        <f>"515-223-1113"</f>
        <v>515-223-1113</v>
      </c>
      <c r="Z525" t="s">
        <v>116</v>
      </c>
    </row>
    <row r="526" spans="1:26" x14ac:dyDescent="0.25">
      <c r="A526" t="s">
        <v>1560</v>
      </c>
      <c r="B526" t="s">
        <v>1560</v>
      </c>
      <c r="C526" t="s">
        <v>2593</v>
      </c>
      <c r="D526" t="s">
        <v>1561</v>
      </c>
      <c r="E526" t="s">
        <v>3140</v>
      </c>
      <c r="F526" t="s">
        <v>1562</v>
      </c>
      <c r="G526" t="s">
        <v>166</v>
      </c>
      <c r="H526" t="s">
        <v>167</v>
      </c>
      <c r="I526" t="str">
        <f>"563-382-8436"</f>
        <v>563-382-8436</v>
      </c>
      <c r="J526" s="11">
        <v>0</v>
      </c>
      <c r="K526" s="11">
        <v>3</v>
      </c>
      <c r="L526" s="11">
        <v>3</v>
      </c>
      <c r="M526" s="11" t="s">
        <v>3050</v>
      </c>
      <c r="N526" s="14">
        <v>44005</v>
      </c>
      <c r="P526" t="s">
        <v>166</v>
      </c>
      <c r="Q526" t="s">
        <v>653</v>
      </c>
      <c r="R526" t="s">
        <v>170</v>
      </c>
      <c r="S526" t="s">
        <v>171</v>
      </c>
      <c r="T526" t="s">
        <v>172</v>
      </c>
      <c r="U526" t="s">
        <v>18</v>
      </c>
      <c r="V526" s="6" t="s">
        <v>2898</v>
      </c>
      <c r="W526" t="s">
        <v>173</v>
      </c>
      <c r="X526" t="str">
        <f>"563-382-8436"</f>
        <v>563-382-8436</v>
      </c>
      <c r="Y526" t="s">
        <v>1559</v>
      </c>
      <c r="Z526" t="s">
        <v>44</v>
      </c>
    </row>
    <row r="527" spans="1:26" x14ac:dyDescent="0.25">
      <c r="A527" t="s">
        <v>156</v>
      </c>
      <c r="B527" t="s">
        <v>156</v>
      </c>
      <c r="C527" t="s">
        <v>2779</v>
      </c>
      <c r="D527" t="s">
        <v>157</v>
      </c>
      <c r="E527" t="s">
        <v>3141</v>
      </c>
      <c r="F527" t="s">
        <v>158</v>
      </c>
      <c r="G527" t="s">
        <v>159</v>
      </c>
      <c r="H527" t="s">
        <v>160</v>
      </c>
      <c r="I527" t="str">
        <f>"515-778-1228"</f>
        <v>515-778-1228</v>
      </c>
      <c r="J527" s="11">
        <v>0</v>
      </c>
      <c r="K527" s="11">
        <v>8</v>
      </c>
      <c r="L527" s="11">
        <v>8</v>
      </c>
      <c r="M527" s="11" t="s">
        <v>3049</v>
      </c>
      <c r="N527" s="14">
        <v>43719</v>
      </c>
      <c r="P527" t="s">
        <v>159</v>
      </c>
      <c r="Q527" t="s">
        <v>160</v>
      </c>
      <c r="R527" t="s">
        <v>161</v>
      </c>
      <c r="T527" t="s">
        <v>60</v>
      </c>
      <c r="U527" t="s">
        <v>18</v>
      </c>
      <c r="V527" s="6" t="s">
        <v>2897</v>
      </c>
      <c r="W527" t="s">
        <v>162</v>
      </c>
      <c r="X527" t="str">
        <f>"515-778-1228"</f>
        <v>515-778-1228</v>
      </c>
      <c r="Y527" t="s">
        <v>21</v>
      </c>
      <c r="Z527" t="s">
        <v>62</v>
      </c>
    </row>
    <row r="528" spans="1:26" x14ac:dyDescent="0.25">
      <c r="A528" t="s">
        <v>238</v>
      </c>
      <c r="B528" t="s">
        <v>238</v>
      </c>
      <c r="C528" t="s">
        <v>2839</v>
      </c>
      <c r="D528" t="s">
        <v>157</v>
      </c>
      <c r="E528" t="s">
        <v>3141</v>
      </c>
      <c r="F528" t="s">
        <v>158</v>
      </c>
      <c r="G528" t="s">
        <v>159</v>
      </c>
      <c r="H528" t="s">
        <v>160</v>
      </c>
      <c r="I528" t="str">
        <f>"515-778-1228"</f>
        <v>515-778-1228</v>
      </c>
      <c r="J528" s="11">
        <v>0</v>
      </c>
      <c r="K528" s="11">
        <v>8</v>
      </c>
      <c r="L528" s="11">
        <v>8</v>
      </c>
      <c r="M528" s="11" t="s">
        <v>3049</v>
      </c>
      <c r="N528" s="14">
        <v>43719</v>
      </c>
      <c r="P528" t="s">
        <v>159</v>
      </c>
      <c r="Q528" t="s">
        <v>160</v>
      </c>
      <c r="R528" t="s">
        <v>161</v>
      </c>
      <c r="T528" t="s">
        <v>60</v>
      </c>
      <c r="U528" t="s">
        <v>18</v>
      </c>
      <c r="V528" s="6" t="s">
        <v>2897</v>
      </c>
      <c r="W528" t="s">
        <v>162</v>
      </c>
      <c r="X528" t="str">
        <f>"515-778-1228"</f>
        <v>515-778-1228</v>
      </c>
      <c r="Y528" t="s">
        <v>21</v>
      </c>
      <c r="Z528" t="s">
        <v>62</v>
      </c>
    </row>
    <row r="529" spans="1:26" x14ac:dyDescent="0.25">
      <c r="A529" t="s">
        <v>1271</v>
      </c>
      <c r="B529" t="s">
        <v>1271</v>
      </c>
      <c r="C529" t="s">
        <v>2529</v>
      </c>
      <c r="D529" t="s">
        <v>1272</v>
      </c>
      <c r="E529" t="s">
        <v>1278</v>
      </c>
      <c r="F529" t="s">
        <v>1273</v>
      </c>
      <c r="G529" t="s">
        <v>1274</v>
      </c>
      <c r="H529" t="s">
        <v>1275</v>
      </c>
      <c r="I529" t="str">
        <f>"712-446-2599"</f>
        <v>712-446-2599</v>
      </c>
      <c r="J529" s="11">
        <v>0</v>
      </c>
      <c r="K529" s="11">
        <v>17</v>
      </c>
      <c r="L529" s="11">
        <v>8</v>
      </c>
      <c r="M529" s="11" t="s">
        <v>3049</v>
      </c>
      <c r="N529" s="14">
        <v>43700</v>
      </c>
      <c r="P529" t="s">
        <v>1274</v>
      </c>
      <c r="Q529" t="s">
        <v>1276</v>
      </c>
      <c r="R529" t="s">
        <v>1272</v>
      </c>
      <c r="S529" t="s">
        <v>1277</v>
      </c>
      <c r="T529" t="s">
        <v>1278</v>
      </c>
      <c r="U529" t="s">
        <v>18</v>
      </c>
      <c r="V529" s="6" t="s">
        <v>2981</v>
      </c>
      <c r="W529" t="s">
        <v>1279</v>
      </c>
      <c r="X529" t="str">
        <f>"712-446-2599"</f>
        <v>712-446-2599</v>
      </c>
      <c r="Y529" t="s">
        <v>151</v>
      </c>
      <c r="Z529" t="s">
        <v>44</v>
      </c>
    </row>
    <row r="530" spans="1:26" x14ac:dyDescent="0.25">
      <c r="A530" t="s">
        <v>239</v>
      </c>
      <c r="B530" t="s">
        <v>239</v>
      </c>
      <c r="C530" t="s">
        <v>2877</v>
      </c>
      <c r="D530" t="s">
        <v>240</v>
      </c>
      <c r="E530" t="s">
        <v>241</v>
      </c>
      <c r="F530" t="s">
        <v>241</v>
      </c>
      <c r="G530" t="s">
        <v>78</v>
      </c>
      <c r="H530" t="s">
        <v>79</v>
      </c>
      <c r="I530" t="str">
        <f>"515-225-4782"</f>
        <v>515-225-4782</v>
      </c>
      <c r="J530" s="11">
        <v>0</v>
      </c>
      <c r="K530" s="11">
        <v>24</v>
      </c>
      <c r="L530" s="11">
        <v>17</v>
      </c>
      <c r="M530" s="11" t="s">
        <v>3049</v>
      </c>
      <c r="N530" s="14">
        <v>44018</v>
      </c>
      <c r="P530" t="s">
        <v>242</v>
      </c>
      <c r="Q530" t="s">
        <v>81</v>
      </c>
      <c r="R530" t="s">
        <v>82</v>
      </c>
      <c r="S530" t="s">
        <v>83</v>
      </c>
      <c r="T530" t="s">
        <v>84</v>
      </c>
      <c r="U530" t="s">
        <v>18</v>
      </c>
      <c r="V530" s="6" t="s">
        <v>2890</v>
      </c>
      <c r="W530" t="s">
        <v>85</v>
      </c>
      <c r="X530" t="str">
        <f>"319-338-7600"</f>
        <v>319-338-7600</v>
      </c>
      <c r="Y530" t="s">
        <v>21</v>
      </c>
      <c r="Z530" t="s">
        <v>62</v>
      </c>
    </row>
    <row r="531" spans="1:26" x14ac:dyDescent="0.25">
      <c r="A531" t="str">
        <f>"92-34"</f>
        <v>92-34</v>
      </c>
      <c r="C531" t="s">
        <v>2675</v>
      </c>
      <c r="D531" t="s">
        <v>1912</v>
      </c>
      <c r="E531" t="s">
        <v>241</v>
      </c>
      <c r="F531" t="s">
        <v>241</v>
      </c>
      <c r="G531" t="s">
        <v>78</v>
      </c>
      <c r="H531" t="s">
        <v>79</v>
      </c>
      <c r="I531" t="str">
        <f>"515-225-4782"</f>
        <v>515-225-4782</v>
      </c>
      <c r="J531" s="11">
        <v>3</v>
      </c>
      <c r="K531" s="11">
        <v>24</v>
      </c>
      <c r="L531" s="11">
        <v>24</v>
      </c>
      <c r="M531" s="11" t="s">
        <v>3051</v>
      </c>
      <c r="N531" s="14">
        <v>43657</v>
      </c>
      <c r="P531" t="s">
        <v>1913</v>
      </c>
      <c r="Q531" t="s">
        <v>81</v>
      </c>
      <c r="R531" t="s">
        <v>82</v>
      </c>
      <c r="S531" t="s">
        <v>83</v>
      </c>
      <c r="T531" t="s">
        <v>84</v>
      </c>
      <c r="U531" t="s">
        <v>18</v>
      </c>
      <c r="V531" s="6" t="s">
        <v>2890</v>
      </c>
      <c r="W531" t="s">
        <v>85</v>
      </c>
      <c r="X531" t="str">
        <f>"319-338-7600"</f>
        <v>319-338-7600</v>
      </c>
      <c r="Z531" t="s">
        <v>62</v>
      </c>
    </row>
    <row r="532" spans="1:26" x14ac:dyDescent="0.25">
      <c r="A532" t="str">
        <f>"96-40"</f>
        <v>96-40</v>
      </c>
      <c r="B532" t="s">
        <v>2085</v>
      </c>
      <c r="C532" t="s">
        <v>2717</v>
      </c>
      <c r="D532" t="s">
        <v>2086</v>
      </c>
      <c r="E532" t="s">
        <v>3142</v>
      </c>
      <c r="F532" t="s">
        <v>2087</v>
      </c>
      <c r="G532" t="s">
        <v>78</v>
      </c>
      <c r="H532" t="s">
        <v>79</v>
      </c>
      <c r="I532" t="str">
        <f>"515-225-4782"</f>
        <v>515-225-4782</v>
      </c>
      <c r="J532" s="11">
        <v>3</v>
      </c>
      <c r="K532" s="11">
        <v>24</v>
      </c>
      <c r="L532" s="11">
        <v>24</v>
      </c>
      <c r="M532" s="11" t="s">
        <v>3049</v>
      </c>
      <c r="N532" s="14">
        <v>44159</v>
      </c>
      <c r="P532" t="s">
        <v>2088</v>
      </c>
      <c r="Q532" t="s">
        <v>81</v>
      </c>
      <c r="R532" t="s">
        <v>82</v>
      </c>
      <c r="S532" t="s">
        <v>83</v>
      </c>
      <c r="T532" t="s">
        <v>84</v>
      </c>
      <c r="U532" t="s">
        <v>18</v>
      </c>
      <c r="V532" s="6" t="s">
        <v>2890</v>
      </c>
      <c r="W532" t="s">
        <v>85</v>
      </c>
      <c r="X532" t="str">
        <f>"319-338-7600"</f>
        <v>319-338-7600</v>
      </c>
      <c r="Y532" t="s">
        <v>21</v>
      </c>
      <c r="Z532" t="s">
        <v>62</v>
      </c>
    </row>
    <row r="533" spans="1:26" x14ac:dyDescent="0.25">
      <c r="A533" t="str">
        <f>"10-10-271"</f>
        <v>10-10-271</v>
      </c>
      <c r="C533" t="s">
        <v>2521</v>
      </c>
      <c r="D533" t="s">
        <v>1217</v>
      </c>
      <c r="E533" t="s">
        <v>3143</v>
      </c>
      <c r="F533" t="s">
        <v>241</v>
      </c>
      <c r="G533" t="s">
        <v>107</v>
      </c>
      <c r="H533" t="s">
        <v>108</v>
      </c>
      <c r="I533" t="str">
        <f>"515-313-7306"</f>
        <v>515-313-7306</v>
      </c>
      <c r="J533" s="11">
        <v>4</v>
      </c>
      <c r="K533" s="11">
        <v>24</v>
      </c>
      <c r="L533" s="11">
        <v>24</v>
      </c>
      <c r="M533" s="11" t="s">
        <v>3050</v>
      </c>
      <c r="N533" s="14">
        <v>43726</v>
      </c>
      <c r="P533" t="s">
        <v>1218</v>
      </c>
      <c r="Q533" t="s">
        <v>145</v>
      </c>
      <c r="R533" t="s">
        <v>187</v>
      </c>
      <c r="T533" t="s">
        <v>60</v>
      </c>
      <c r="U533" t="s">
        <v>18</v>
      </c>
      <c r="V533" s="6" t="s">
        <v>2899</v>
      </c>
      <c r="W533" t="s">
        <v>148</v>
      </c>
      <c r="X533" t="str">
        <f>"712-580-5360"</f>
        <v>712-580-5360</v>
      </c>
      <c r="Y533" t="s">
        <v>151</v>
      </c>
      <c r="Z533" t="s">
        <v>116</v>
      </c>
    </row>
    <row r="534" spans="1:26" x14ac:dyDescent="0.25">
      <c r="A534" t="str">
        <f>"14-14-30"</f>
        <v>14-14-30</v>
      </c>
      <c r="B534" t="s">
        <v>1521</v>
      </c>
      <c r="C534" t="s">
        <v>2585</v>
      </c>
      <c r="D534" t="s">
        <v>1522</v>
      </c>
      <c r="E534" t="s">
        <v>1523</v>
      </c>
      <c r="F534" t="s">
        <v>1523</v>
      </c>
      <c r="G534" t="s">
        <v>1221</v>
      </c>
      <c r="H534" t="s">
        <v>1222</v>
      </c>
      <c r="I534" t="str">
        <f>"316-263-2215"</f>
        <v>316-263-2215</v>
      </c>
      <c r="J534" s="11">
        <v>2</v>
      </c>
      <c r="K534" s="11">
        <v>32</v>
      </c>
      <c r="L534" s="11">
        <v>30</v>
      </c>
      <c r="M534" s="11" t="s">
        <v>3149</v>
      </c>
      <c r="N534" s="14">
        <v>43955</v>
      </c>
      <c r="P534" t="s">
        <v>1524</v>
      </c>
      <c r="Q534" t="s">
        <v>1435</v>
      </c>
      <c r="R534" t="s">
        <v>1436</v>
      </c>
      <c r="S534" t="s">
        <v>100</v>
      </c>
      <c r="T534" t="s">
        <v>1437</v>
      </c>
      <c r="U534" t="s">
        <v>1196</v>
      </c>
      <c r="V534" s="6" t="s">
        <v>2995</v>
      </c>
      <c r="W534" t="s">
        <v>1438</v>
      </c>
      <c r="X534" t="str">
        <f>"913-396-6310"</f>
        <v>913-396-6310</v>
      </c>
      <c r="Y534" t="s">
        <v>21</v>
      </c>
      <c r="Z534" t="s">
        <v>20</v>
      </c>
    </row>
    <row r="535" spans="1:26" x14ac:dyDescent="0.25">
      <c r="A535" t="str">
        <f>"97-16"</f>
        <v>97-16</v>
      </c>
      <c r="B535" t="s">
        <v>2117</v>
      </c>
      <c r="C535" t="s">
        <v>2727</v>
      </c>
      <c r="D535" t="s">
        <v>2118</v>
      </c>
      <c r="E535" t="s">
        <v>1523</v>
      </c>
      <c r="F535" t="s">
        <v>1523</v>
      </c>
      <c r="G535" t="s">
        <v>55</v>
      </c>
      <c r="H535" t="s">
        <v>56</v>
      </c>
      <c r="I535" t="str">
        <f>"712-262-5965"</f>
        <v>712-262-5965</v>
      </c>
      <c r="J535" s="11">
        <v>2</v>
      </c>
      <c r="K535" s="11">
        <v>24</v>
      </c>
      <c r="L535" s="11">
        <v>24</v>
      </c>
      <c r="M535" s="11" t="s">
        <v>3051</v>
      </c>
      <c r="N535" s="14">
        <v>43339</v>
      </c>
      <c r="P535" t="s">
        <v>2119</v>
      </c>
      <c r="Q535" t="s">
        <v>58</v>
      </c>
      <c r="R535" t="s">
        <v>59</v>
      </c>
      <c r="T535" t="s">
        <v>60</v>
      </c>
      <c r="U535" t="s">
        <v>18</v>
      </c>
      <c r="V535" s="6" t="s">
        <v>2888</v>
      </c>
      <c r="W535" t="s">
        <v>61</v>
      </c>
      <c r="X535" t="str">
        <f>"515-262-5965"</f>
        <v>515-262-5965</v>
      </c>
      <c r="Y535" t="s">
        <v>21</v>
      </c>
      <c r="Z535" t="s">
        <v>62</v>
      </c>
    </row>
    <row r="536" spans="1:26" x14ac:dyDescent="0.25">
      <c r="A536" t="str">
        <f>"01-28"</f>
        <v>01-28</v>
      </c>
      <c r="C536" t="s">
        <v>2338</v>
      </c>
      <c r="D536" t="s">
        <v>2876</v>
      </c>
      <c r="E536" t="s">
        <v>41</v>
      </c>
      <c r="F536" t="s">
        <v>210</v>
      </c>
      <c r="G536" t="s">
        <v>211</v>
      </c>
      <c r="H536" t="s">
        <v>212</v>
      </c>
      <c r="I536" t="str">
        <f>"402-963-9099"</f>
        <v>402-963-9099</v>
      </c>
      <c r="J536" s="11">
        <v>2</v>
      </c>
      <c r="K536" s="11">
        <v>40</v>
      </c>
      <c r="L536" s="11">
        <v>40</v>
      </c>
      <c r="M536" s="11" t="s">
        <v>3051</v>
      </c>
      <c r="N536" s="14">
        <v>42935</v>
      </c>
      <c r="P536" t="s">
        <v>213</v>
      </c>
      <c r="Q536" t="s">
        <v>214</v>
      </c>
      <c r="R536" t="s">
        <v>215</v>
      </c>
      <c r="T536" t="s">
        <v>216</v>
      </c>
      <c r="U536" t="s">
        <v>42</v>
      </c>
      <c r="V536" s="6" t="s">
        <v>2902</v>
      </c>
      <c r="W536" t="s">
        <v>217</v>
      </c>
      <c r="X536" t="str">
        <f>"402-963-9099"</f>
        <v>402-963-9099</v>
      </c>
      <c r="Y536" t="s">
        <v>151</v>
      </c>
      <c r="Z536" t="s">
        <v>116</v>
      </c>
    </row>
    <row r="537" spans="1:26" x14ac:dyDescent="0.25">
      <c r="A537" t="str">
        <f>"02-22"</f>
        <v>02-22</v>
      </c>
      <c r="B537" t="s">
        <v>305</v>
      </c>
      <c r="C537" t="s">
        <v>2349</v>
      </c>
      <c r="D537" t="s">
        <v>306</v>
      </c>
      <c r="E537" t="s">
        <v>41</v>
      </c>
      <c r="F537" t="s">
        <v>210</v>
      </c>
      <c r="G537" t="s">
        <v>307</v>
      </c>
      <c r="H537" t="s">
        <v>308</v>
      </c>
      <c r="I537" t="str">
        <f>"319-287-3845"</f>
        <v>319-287-3845</v>
      </c>
      <c r="J537" s="11">
        <v>13</v>
      </c>
      <c r="K537" s="11">
        <v>52</v>
      </c>
      <c r="L537" s="11">
        <v>52</v>
      </c>
      <c r="M537" s="11" t="s">
        <v>3149</v>
      </c>
      <c r="N537" s="14">
        <v>44025</v>
      </c>
      <c r="P537" t="s">
        <v>309</v>
      </c>
      <c r="Q537" t="s">
        <v>308</v>
      </c>
      <c r="R537" t="s">
        <v>310</v>
      </c>
      <c r="S537" t="s">
        <v>311</v>
      </c>
      <c r="T537" t="s">
        <v>41</v>
      </c>
      <c r="U537" t="s">
        <v>18</v>
      </c>
      <c r="V537" s="6" t="s">
        <v>2910</v>
      </c>
      <c r="W537" t="s">
        <v>312</v>
      </c>
      <c r="X537" t="str">
        <f>"319-287-3845"</f>
        <v>319-287-3845</v>
      </c>
      <c r="Y537" t="s">
        <v>21</v>
      </c>
      <c r="Z537" t="s">
        <v>20</v>
      </c>
    </row>
    <row r="538" spans="1:26" x14ac:dyDescent="0.25">
      <c r="A538" t="s">
        <v>363</v>
      </c>
      <c r="B538" t="s">
        <v>363</v>
      </c>
      <c r="C538" t="s">
        <v>365</v>
      </c>
      <c r="D538" t="s">
        <v>364</v>
      </c>
      <c r="E538" t="s">
        <v>41</v>
      </c>
      <c r="F538" t="s">
        <v>210</v>
      </c>
      <c r="G538" t="s">
        <v>365</v>
      </c>
      <c r="H538" t="s">
        <v>366</v>
      </c>
      <c r="I538" t="str">
        <f>"319-235-9358"</f>
        <v>319-235-9358</v>
      </c>
      <c r="J538" s="11">
        <v>0</v>
      </c>
      <c r="K538" s="11">
        <v>10</v>
      </c>
      <c r="L538" s="11">
        <v>10</v>
      </c>
      <c r="M538" s="11" t="s">
        <v>3049</v>
      </c>
      <c r="N538" s="14">
        <v>43865</v>
      </c>
      <c r="P538" t="s">
        <v>365</v>
      </c>
      <c r="Q538" t="s">
        <v>366</v>
      </c>
      <c r="R538" t="s">
        <v>364</v>
      </c>
      <c r="T538" t="s">
        <v>41</v>
      </c>
      <c r="U538" t="s">
        <v>18</v>
      </c>
      <c r="V538" s="6" t="s">
        <v>2916</v>
      </c>
      <c r="W538" t="s">
        <v>367</v>
      </c>
      <c r="X538" t="str">
        <f>"319-235-9358"</f>
        <v>319-235-9358</v>
      </c>
      <c r="Y538" t="s">
        <v>21</v>
      </c>
      <c r="Z538" t="s">
        <v>116</v>
      </c>
    </row>
    <row r="539" spans="1:26" x14ac:dyDescent="0.25">
      <c r="A539" t="str">
        <f>"04-12"</f>
        <v>04-12</v>
      </c>
      <c r="B539" t="s">
        <v>477</v>
      </c>
      <c r="C539" t="s">
        <v>2375</v>
      </c>
      <c r="D539" t="s">
        <v>478</v>
      </c>
      <c r="E539" t="s">
        <v>41</v>
      </c>
      <c r="F539" t="s">
        <v>210</v>
      </c>
      <c r="G539" t="s">
        <v>392</v>
      </c>
      <c r="H539" t="s">
        <v>393</v>
      </c>
      <c r="I539" t="str">
        <f>"651-209-0531"</f>
        <v>651-209-0531</v>
      </c>
      <c r="J539" s="11">
        <v>1</v>
      </c>
      <c r="K539" s="11">
        <v>21</v>
      </c>
      <c r="L539" s="11">
        <v>21</v>
      </c>
      <c r="M539" s="11" t="s">
        <v>3051</v>
      </c>
      <c r="N539" s="14">
        <v>43556</v>
      </c>
      <c r="P539" t="s">
        <v>479</v>
      </c>
      <c r="Q539" t="s">
        <v>395</v>
      </c>
      <c r="R539" t="s">
        <v>396</v>
      </c>
      <c r="S539" t="s">
        <v>100</v>
      </c>
      <c r="T539" t="s">
        <v>30</v>
      </c>
      <c r="U539" t="s">
        <v>31</v>
      </c>
      <c r="V539" s="6" t="s">
        <v>2918</v>
      </c>
      <c r="W539" t="s">
        <v>397</v>
      </c>
      <c r="X539" t="str">
        <f>"651-815-0665"</f>
        <v>651-815-0665</v>
      </c>
      <c r="Y539" t="s">
        <v>33</v>
      </c>
      <c r="Z539" t="s">
        <v>20</v>
      </c>
    </row>
    <row r="540" spans="1:26" x14ac:dyDescent="0.25">
      <c r="A540" t="str">
        <f>"06-01"</f>
        <v>06-01</v>
      </c>
      <c r="C540" t="s">
        <v>2415</v>
      </c>
      <c r="D540" t="s">
        <v>677</v>
      </c>
      <c r="E540" t="s">
        <v>41</v>
      </c>
      <c r="F540" t="s">
        <v>210</v>
      </c>
      <c r="G540" t="s">
        <v>439</v>
      </c>
      <c r="H540" t="s">
        <v>440</v>
      </c>
      <c r="I540" t="str">
        <f>"952-447-2345"</f>
        <v>952-447-2345</v>
      </c>
      <c r="J540" s="11">
        <v>1</v>
      </c>
      <c r="K540" s="11">
        <v>64</v>
      </c>
      <c r="L540" s="11">
        <v>64</v>
      </c>
      <c r="M540" s="11" t="s">
        <v>3050</v>
      </c>
      <c r="N540" s="14">
        <v>43311</v>
      </c>
      <c r="P540" t="s">
        <v>678</v>
      </c>
      <c r="Q540" t="s">
        <v>440</v>
      </c>
      <c r="R540" t="s">
        <v>442</v>
      </c>
      <c r="S540" t="s">
        <v>443</v>
      </c>
      <c r="T540" t="s">
        <v>444</v>
      </c>
      <c r="U540" t="s">
        <v>31</v>
      </c>
      <c r="V540" s="6" t="s">
        <v>2923</v>
      </c>
      <c r="W540" t="s">
        <v>445</v>
      </c>
      <c r="X540" t="str">
        <f>"952-447-2345"</f>
        <v>952-447-2345</v>
      </c>
      <c r="Y540" t="s">
        <v>21</v>
      </c>
      <c r="Z540" t="s">
        <v>44</v>
      </c>
    </row>
    <row r="541" spans="1:26" x14ac:dyDescent="0.25">
      <c r="A541" t="str">
        <f>"09-0913"</f>
        <v>09-0913</v>
      </c>
      <c r="B541" t="s">
        <v>1021</v>
      </c>
      <c r="C541" t="s">
        <v>2479</v>
      </c>
      <c r="D541" t="s">
        <v>1022</v>
      </c>
      <c r="E541" t="s">
        <v>41</v>
      </c>
      <c r="F541" t="s">
        <v>210</v>
      </c>
      <c r="G541" t="s">
        <v>383</v>
      </c>
      <c r="H541" t="s">
        <v>384</v>
      </c>
      <c r="I541" t="str">
        <f>"563-359-1075"</f>
        <v>563-359-1075</v>
      </c>
      <c r="J541" s="11">
        <v>1</v>
      </c>
      <c r="K541" s="11">
        <v>57</v>
      </c>
      <c r="L541" s="11">
        <v>54</v>
      </c>
      <c r="M541" s="11" t="s">
        <v>3149</v>
      </c>
      <c r="N541" s="14">
        <v>43865</v>
      </c>
      <c r="P541" t="s">
        <v>1023</v>
      </c>
      <c r="Q541" t="s">
        <v>386</v>
      </c>
      <c r="R541" t="s">
        <v>387</v>
      </c>
      <c r="T541" t="s">
        <v>388</v>
      </c>
      <c r="U541" t="s">
        <v>300</v>
      </c>
      <c r="V541" s="6" t="s">
        <v>2917</v>
      </c>
      <c r="W541" t="s">
        <v>776</v>
      </c>
      <c r="X541" t="str">
        <f>"414-395-4980"</f>
        <v>414-395-4980</v>
      </c>
      <c r="Y541" t="s">
        <v>33</v>
      </c>
      <c r="Z541" t="s">
        <v>116</v>
      </c>
    </row>
    <row r="542" spans="1:26" x14ac:dyDescent="0.25">
      <c r="A542" t="str">
        <f>"09-0914"</f>
        <v>09-0914</v>
      </c>
      <c r="B542" t="s">
        <v>1024</v>
      </c>
      <c r="C542" t="s">
        <v>2480</v>
      </c>
      <c r="D542" t="s">
        <v>1025</v>
      </c>
      <c r="E542" t="s">
        <v>41</v>
      </c>
      <c r="F542" t="s">
        <v>210</v>
      </c>
      <c r="G542" t="s">
        <v>1026</v>
      </c>
      <c r="H542" t="s">
        <v>1027</v>
      </c>
      <c r="I542" t="str">
        <f>"651-291-1750"</f>
        <v>651-291-1750</v>
      </c>
      <c r="J542" s="11">
        <v>8</v>
      </c>
      <c r="K542" s="11">
        <v>40</v>
      </c>
      <c r="L542" s="11">
        <v>40</v>
      </c>
      <c r="M542" s="11" t="s">
        <v>3149</v>
      </c>
      <c r="N542" s="14">
        <v>44172</v>
      </c>
      <c r="P542" t="s">
        <v>1028</v>
      </c>
      <c r="Q542" t="s">
        <v>1027</v>
      </c>
      <c r="R542" t="s">
        <v>1029</v>
      </c>
      <c r="T542" t="s">
        <v>30</v>
      </c>
      <c r="U542" t="s">
        <v>31</v>
      </c>
      <c r="V542" s="6" t="s">
        <v>2964</v>
      </c>
      <c r="W542" t="s">
        <v>1030</v>
      </c>
      <c r="X542" t="str">
        <f>"651-291-1750"</f>
        <v>651-291-1750</v>
      </c>
      <c r="Y542" t="s">
        <v>21</v>
      </c>
      <c r="Z542" t="s">
        <v>103</v>
      </c>
    </row>
    <row r="543" spans="1:26" x14ac:dyDescent="0.25">
      <c r="A543" t="str">
        <f>"09-0928"</f>
        <v>09-0928</v>
      </c>
      <c r="C543" t="s">
        <v>2485</v>
      </c>
      <c r="D543" t="s">
        <v>1043</v>
      </c>
      <c r="E543" t="s">
        <v>41</v>
      </c>
      <c r="F543" t="s">
        <v>210</v>
      </c>
      <c r="G543" t="s">
        <v>1044</v>
      </c>
      <c r="H543" t="s">
        <v>1045</v>
      </c>
      <c r="I543" t="str">
        <f>"317-974-1234"</f>
        <v>317-974-1234</v>
      </c>
      <c r="J543" s="11">
        <v>8</v>
      </c>
      <c r="K543" s="11">
        <v>96</v>
      </c>
      <c r="L543" s="11">
        <v>96</v>
      </c>
      <c r="M543" s="11" t="s">
        <v>3050</v>
      </c>
      <c r="N543" s="14">
        <v>44110</v>
      </c>
      <c r="P543" t="s">
        <v>1046</v>
      </c>
      <c r="Q543" t="s">
        <v>1047</v>
      </c>
      <c r="R543" t="s">
        <v>1048</v>
      </c>
      <c r="T543" t="s">
        <v>1049</v>
      </c>
      <c r="U543" t="s">
        <v>359</v>
      </c>
      <c r="V543" s="6" t="s">
        <v>2965</v>
      </c>
      <c r="W543" t="s">
        <v>1050</v>
      </c>
      <c r="X543" t="str">
        <f>"513-755-2571"</f>
        <v>513-755-2571</v>
      </c>
      <c r="Y543" t="s">
        <v>21</v>
      </c>
      <c r="Z543" t="s">
        <v>116</v>
      </c>
    </row>
    <row r="544" spans="1:26" x14ac:dyDescent="0.25">
      <c r="A544" t="str">
        <f>"10-10-14"</f>
        <v>10-10-14</v>
      </c>
      <c r="B544" t="s">
        <v>1114</v>
      </c>
      <c r="C544" t="s">
        <v>2496</v>
      </c>
      <c r="D544" t="s">
        <v>1115</v>
      </c>
      <c r="E544" t="s">
        <v>41</v>
      </c>
      <c r="F544" t="s">
        <v>210</v>
      </c>
      <c r="G544" t="s">
        <v>851</v>
      </c>
      <c r="H544" t="s">
        <v>852</v>
      </c>
      <c r="I544" t="str">
        <f>"515-490-9001"</f>
        <v>515-490-9001</v>
      </c>
      <c r="J544" s="11">
        <v>1</v>
      </c>
      <c r="K544" s="11">
        <v>60</v>
      </c>
      <c r="L544" s="11">
        <v>60</v>
      </c>
      <c r="M544" s="11" t="s">
        <v>3149</v>
      </c>
      <c r="N544" s="14">
        <v>44172</v>
      </c>
      <c r="P544" t="s">
        <v>1116</v>
      </c>
      <c r="Q544" t="s">
        <v>1117</v>
      </c>
      <c r="R544" t="s">
        <v>1118</v>
      </c>
      <c r="S544" t="s">
        <v>1119</v>
      </c>
      <c r="T544" t="s">
        <v>1120</v>
      </c>
      <c r="U544" t="s">
        <v>454</v>
      </c>
      <c r="V544" s="6" t="s">
        <v>2971</v>
      </c>
      <c r="W544" t="s">
        <v>1121</v>
      </c>
      <c r="X544" t="str">
        <f>"815-540-4733"</f>
        <v>815-540-4733</v>
      </c>
      <c r="Y544" t="s">
        <v>21</v>
      </c>
      <c r="Z544" t="s">
        <v>44</v>
      </c>
    </row>
    <row r="545" spans="1:26" x14ac:dyDescent="0.25">
      <c r="A545" t="str">
        <f>"10-10-24"</f>
        <v>10-10-24</v>
      </c>
      <c r="C545" t="s">
        <v>2505</v>
      </c>
      <c r="D545" t="s">
        <v>1164</v>
      </c>
      <c r="E545" t="s">
        <v>41</v>
      </c>
      <c r="F545" t="s">
        <v>210</v>
      </c>
      <c r="G545" t="s">
        <v>534</v>
      </c>
      <c r="H545" t="s">
        <v>535</v>
      </c>
      <c r="I545" t="str">
        <f>"612-337-2658"</f>
        <v>612-337-2658</v>
      </c>
      <c r="J545" s="11">
        <v>1</v>
      </c>
      <c r="K545" s="11">
        <v>90</v>
      </c>
      <c r="L545" s="11">
        <v>90</v>
      </c>
      <c r="M545" s="11" t="s">
        <v>3050</v>
      </c>
      <c r="N545" s="14">
        <v>44025</v>
      </c>
      <c r="P545" t="s">
        <v>1165</v>
      </c>
      <c r="Q545" t="s">
        <v>537</v>
      </c>
      <c r="R545" t="s">
        <v>538</v>
      </c>
      <c r="S545" t="s">
        <v>539</v>
      </c>
      <c r="T545" t="s">
        <v>540</v>
      </c>
      <c r="U545" t="s">
        <v>31</v>
      </c>
      <c r="V545" s="6" t="s">
        <v>2929</v>
      </c>
      <c r="W545" t="s">
        <v>541</v>
      </c>
      <c r="X545" t="str">
        <f>"612-332-3000"</f>
        <v>612-332-3000</v>
      </c>
      <c r="Y545" t="s">
        <v>151</v>
      </c>
      <c r="Z545" t="s">
        <v>44</v>
      </c>
    </row>
    <row r="546" spans="1:26" x14ac:dyDescent="0.25">
      <c r="A546" t="str">
        <f>"14-14-32"</f>
        <v>14-14-32</v>
      </c>
      <c r="C546" t="s">
        <v>2587</v>
      </c>
      <c r="D546" t="s">
        <v>1527</v>
      </c>
      <c r="E546" t="s">
        <v>41</v>
      </c>
      <c r="F546" t="s">
        <v>210</v>
      </c>
      <c r="G546" t="s">
        <v>1528</v>
      </c>
      <c r="H546" t="s">
        <v>1529</v>
      </c>
      <c r="I546" t="str">
        <f>"920-966-9905"</f>
        <v>920-966-9905</v>
      </c>
      <c r="J546" s="11">
        <v>1</v>
      </c>
      <c r="K546" s="11">
        <v>84</v>
      </c>
      <c r="L546" s="11">
        <v>84</v>
      </c>
      <c r="M546" s="11" t="s">
        <v>3050</v>
      </c>
      <c r="N546" s="14">
        <v>43894</v>
      </c>
      <c r="P546" t="s">
        <v>1530</v>
      </c>
      <c r="Q546" t="s">
        <v>1531</v>
      </c>
      <c r="R546" t="s">
        <v>1532</v>
      </c>
      <c r="S546" t="s">
        <v>1533</v>
      </c>
      <c r="T546" t="s">
        <v>1534</v>
      </c>
      <c r="U546" t="s">
        <v>923</v>
      </c>
      <c r="V546" s="6" t="s">
        <v>2996</v>
      </c>
      <c r="W546" t="s">
        <v>1535</v>
      </c>
      <c r="X546" t="str">
        <f>"310-207-0882"</f>
        <v>310-207-0882</v>
      </c>
      <c r="Y546" t="s">
        <v>151</v>
      </c>
      <c r="Z546" t="s">
        <v>44</v>
      </c>
    </row>
    <row r="547" spans="1:26" x14ac:dyDescent="0.25">
      <c r="A547" t="str">
        <f>"97-06"</f>
        <v>97-06</v>
      </c>
      <c r="B547" t="s">
        <v>2108</v>
      </c>
      <c r="C547" t="s">
        <v>2724</v>
      </c>
      <c r="D547" t="s">
        <v>2109</v>
      </c>
      <c r="E547" t="s">
        <v>41</v>
      </c>
      <c r="F547" t="s">
        <v>210</v>
      </c>
      <c r="G547" t="s">
        <v>307</v>
      </c>
      <c r="H547" t="s">
        <v>308</v>
      </c>
      <c r="I547" t="str">
        <f>"319-287-3845"</f>
        <v>319-287-3845</v>
      </c>
      <c r="J547" s="11">
        <v>7</v>
      </c>
      <c r="K547" s="11">
        <v>28</v>
      </c>
      <c r="L547" s="11">
        <v>28</v>
      </c>
      <c r="M547" s="11" t="s">
        <v>3051</v>
      </c>
      <c r="N547" s="14">
        <v>43242</v>
      </c>
      <c r="P547" t="s">
        <v>2110</v>
      </c>
      <c r="Q547" t="s">
        <v>308</v>
      </c>
      <c r="R547" t="s">
        <v>310</v>
      </c>
      <c r="S547" t="s">
        <v>311</v>
      </c>
      <c r="T547" t="s">
        <v>41</v>
      </c>
      <c r="U547" t="s">
        <v>18</v>
      </c>
      <c r="V547" s="6" t="s">
        <v>2910</v>
      </c>
      <c r="W547" t="s">
        <v>312</v>
      </c>
      <c r="X547" t="str">
        <f>"319-287-3845"</f>
        <v>319-287-3845</v>
      </c>
      <c r="Y547" t="s">
        <v>21</v>
      </c>
      <c r="Z547" t="s">
        <v>20</v>
      </c>
    </row>
    <row r="548" spans="1:26" x14ac:dyDescent="0.25">
      <c r="A548" t="str">
        <f>"98-14"</f>
        <v>98-14</v>
      </c>
      <c r="B548" t="s">
        <v>2179</v>
      </c>
      <c r="C548" t="s">
        <v>2745</v>
      </c>
      <c r="D548" t="s">
        <v>2180</v>
      </c>
      <c r="E548" t="s">
        <v>41</v>
      </c>
      <c r="F548" t="s">
        <v>210</v>
      </c>
      <c r="G548" t="s">
        <v>55</v>
      </c>
      <c r="H548" t="s">
        <v>56</v>
      </c>
      <c r="I548" t="str">
        <f>"712-262-5965"</f>
        <v>712-262-5965</v>
      </c>
      <c r="J548" s="11">
        <v>1</v>
      </c>
      <c r="K548" s="11">
        <v>25</v>
      </c>
      <c r="L548" s="11">
        <v>25</v>
      </c>
      <c r="M548" s="11" t="s">
        <v>3051</v>
      </c>
      <c r="N548" s="14">
        <v>43510</v>
      </c>
      <c r="P548" t="s">
        <v>2181</v>
      </c>
      <c r="Q548" t="s">
        <v>58</v>
      </c>
      <c r="R548" t="s">
        <v>59</v>
      </c>
      <c r="T548" t="s">
        <v>60</v>
      </c>
      <c r="U548" t="s">
        <v>18</v>
      </c>
      <c r="V548" s="6" t="s">
        <v>2888</v>
      </c>
      <c r="W548" t="s">
        <v>183</v>
      </c>
      <c r="X548" t="str">
        <f>"515-262-5965"</f>
        <v>515-262-5965</v>
      </c>
      <c r="Y548" t="s">
        <v>151</v>
      </c>
      <c r="Z548" t="s">
        <v>62</v>
      </c>
    </row>
    <row r="549" spans="1:26" x14ac:dyDescent="0.25">
      <c r="A549" t="str">
        <f>"00-31"</f>
        <v>00-31</v>
      </c>
      <c r="B549" t="s">
        <v>104</v>
      </c>
      <c r="C549" t="s">
        <v>2327</v>
      </c>
      <c r="D549" t="s">
        <v>105</v>
      </c>
      <c r="E549" t="s">
        <v>2017</v>
      </c>
      <c r="F549" t="s">
        <v>106</v>
      </c>
      <c r="G549" t="s">
        <v>107</v>
      </c>
      <c r="H549" t="s">
        <v>108</v>
      </c>
      <c r="I549" t="str">
        <f>"515-313-7306"</f>
        <v>515-313-7306</v>
      </c>
      <c r="J549" s="11">
        <v>1</v>
      </c>
      <c r="K549" s="11">
        <v>46</v>
      </c>
      <c r="L549" s="11">
        <v>46</v>
      </c>
      <c r="M549" s="11" t="s">
        <v>3149</v>
      </c>
      <c r="N549" s="14">
        <v>43837</v>
      </c>
      <c r="P549" t="s">
        <v>109</v>
      </c>
      <c r="Q549" t="s">
        <v>110</v>
      </c>
      <c r="R549" t="s">
        <v>111</v>
      </c>
      <c r="S549" t="s">
        <v>112</v>
      </c>
      <c r="T549" t="s">
        <v>113</v>
      </c>
      <c r="U549" t="s">
        <v>114</v>
      </c>
      <c r="V549" s="6" t="s">
        <v>2892</v>
      </c>
      <c r="W549" t="s">
        <v>115</v>
      </c>
      <c r="X549" t="str">
        <f>"602-200-5660"</f>
        <v>602-200-5660</v>
      </c>
      <c r="Y549" t="s">
        <v>21</v>
      </c>
      <c r="Z549" t="s">
        <v>116</v>
      </c>
    </row>
    <row r="550" spans="1:26" x14ac:dyDescent="0.25">
      <c r="A550" t="str">
        <f>"00-35"</f>
        <v>00-35</v>
      </c>
      <c r="C550" t="s">
        <v>2328</v>
      </c>
      <c r="D550" t="s">
        <v>117</v>
      </c>
      <c r="E550" t="s">
        <v>2017</v>
      </c>
      <c r="F550" t="s">
        <v>106</v>
      </c>
      <c r="G550" t="s">
        <v>118</v>
      </c>
      <c r="H550" t="s">
        <v>119</v>
      </c>
      <c r="I550" t="str">
        <f>"515-246-8016"</f>
        <v>515-246-8016</v>
      </c>
      <c r="J550" s="11">
        <v>1</v>
      </c>
      <c r="K550" s="11">
        <v>24</v>
      </c>
      <c r="L550" s="11">
        <v>24</v>
      </c>
      <c r="M550" s="11" t="s">
        <v>3051</v>
      </c>
      <c r="N550" s="14">
        <v>43707</v>
      </c>
      <c r="P550" t="s">
        <v>120</v>
      </c>
      <c r="Q550" t="s">
        <v>119</v>
      </c>
      <c r="R550" t="s">
        <v>121</v>
      </c>
      <c r="S550" t="s">
        <v>100</v>
      </c>
      <c r="T550" t="s">
        <v>60</v>
      </c>
      <c r="U550" t="s">
        <v>18</v>
      </c>
      <c r="V550" s="6" t="s">
        <v>2893</v>
      </c>
      <c r="W550" t="s">
        <v>122</v>
      </c>
      <c r="X550" t="str">
        <f>"515-246-8016"</f>
        <v>515-246-8016</v>
      </c>
      <c r="Y550" t="s">
        <v>21</v>
      </c>
      <c r="Z550" t="s">
        <v>103</v>
      </c>
    </row>
    <row r="551" spans="1:26" x14ac:dyDescent="0.25">
      <c r="A551" t="str">
        <f>"02-03"</f>
        <v>02-03</v>
      </c>
      <c r="C551" t="s">
        <v>2790</v>
      </c>
      <c r="D551" t="s">
        <v>252</v>
      </c>
      <c r="E551" t="s">
        <v>2017</v>
      </c>
      <c r="F551" t="s">
        <v>106</v>
      </c>
      <c r="G551" t="s">
        <v>118</v>
      </c>
      <c r="H551" t="s">
        <v>119</v>
      </c>
      <c r="I551" t="str">
        <f>"515-246-8016"</f>
        <v>515-246-8016</v>
      </c>
      <c r="J551" s="11">
        <v>2</v>
      </c>
      <c r="K551" s="11">
        <v>49</v>
      </c>
      <c r="L551" s="11">
        <v>48</v>
      </c>
      <c r="M551" s="11" t="s">
        <v>3051</v>
      </c>
      <c r="N551" s="14">
        <v>42961</v>
      </c>
      <c r="P551" t="s">
        <v>253</v>
      </c>
      <c r="Q551" t="s">
        <v>119</v>
      </c>
      <c r="R551" t="s">
        <v>121</v>
      </c>
      <c r="S551" t="s">
        <v>100</v>
      </c>
      <c r="T551" t="s">
        <v>60</v>
      </c>
      <c r="U551" t="s">
        <v>18</v>
      </c>
      <c r="V551" s="6" t="s">
        <v>2893</v>
      </c>
      <c r="W551" t="s">
        <v>122</v>
      </c>
      <c r="X551" t="str">
        <f>"515-246-8016"</f>
        <v>515-246-8016</v>
      </c>
      <c r="Y551" t="s">
        <v>21</v>
      </c>
      <c r="Z551" t="s">
        <v>103</v>
      </c>
    </row>
    <row r="552" spans="1:26" x14ac:dyDescent="0.25">
      <c r="A552" t="str">
        <f>"05-04"</f>
        <v>05-04</v>
      </c>
      <c r="C552" t="s">
        <v>2783</v>
      </c>
      <c r="D552" t="s">
        <v>564</v>
      </c>
      <c r="E552" t="s">
        <v>2017</v>
      </c>
      <c r="F552" t="s">
        <v>106</v>
      </c>
      <c r="G552" t="s">
        <v>118</v>
      </c>
      <c r="H552" t="s">
        <v>119</v>
      </c>
      <c r="I552" t="str">
        <f>"515-246-8016"</f>
        <v>515-246-8016</v>
      </c>
      <c r="J552" s="11">
        <v>1</v>
      </c>
      <c r="K552" s="11">
        <v>24</v>
      </c>
      <c r="L552" s="11">
        <v>24</v>
      </c>
      <c r="M552" s="11" t="s">
        <v>3051</v>
      </c>
      <c r="N552" s="14">
        <v>44060</v>
      </c>
      <c r="P552" t="s">
        <v>565</v>
      </c>
      <c r="Q552" t="s">
        <v>119</v>
      </c>
      <c r="R552" t="s">
        <v>121</v>
      </c>
      <c r="S552" t="s">
        <v>100</v>
      </c>
      <c r="T552" t="s">
        <v>60</v>
      </c>
      <c r="U552" t="s">
        <v>18</v>
      </c>
      <c r="V552" s="6" t="s">
        <v>2893</v>
      </c>
      <c r="W552" t="s">
        <v>122</v>
      </c>
      <c r="X552" t="str">
        <f>"515-246-8016"</f>
        <v>515-246-8016</v>
      </c>
      <c r="Y552" t="s">
        <v>21</v>
      </c>
      <c r="Z552" t="s">
        <v>103</v>
      </c>
    </row>
    <row r="553" spans="1:26" x14ac:dyDescent="0.25">
      <c r="A553" t="str">
        <f>"09-0930"</f>
        <v>09-0930</v>
      </c>
      <c r="C553" t="s">
        <v>2486</v>
      </c>
      <c r="D553" t="s">
        <v>1051</v>
      </c>
      <c r="E553" t="s">
        <v>2017</v>
      </c>
      <c r="F553" t="s">
        <v>106</v>
      </c>
      <c r="G553" t="s">
        <v>12</v>
      </c>
      <c r="H553" t="s">
        <v>13</v>
      </c>
      <c r="I553" t="str">
        <f>"608-348-7755"</f>
        <v>608-348-7755</v>
      </c>
      <c r="J553" s="11">
        <v>1</v>
      </c>
      <c r="K553" s="11">
        <v>116</v>
      </c>
      <c r="L553" s="11">
        <v>116</v>
      </c>
      <c r="M553" s="11" t="s">
        <v>3050</v>
      </c>
      <c r="N553" s="14">
        <v>43844</v>
      </c>
      <c r="P553" t="s">
        <v>1052</v>
      </c>
      <c r="Q553" t="s">
        <v>15</v>
      </c>
      <c r="R553" t="s">
        <v>16</v>
      </c>
      <c r="T553" t="s">
        <v>17</v>
      </c>
      <c r="U553" t="s">
        <v>18</v>
      </c>
      <c r="V553" s="6" t="s">
        <v>2931</v>
      </c>
      <c r="W553" t="s">
        <v>19</v>
      </c>
      <c r="X553" t="str">
        <f>"608-348-7755"</f>
        <v>608-348-7755</v>
      </c>
      <c r="Y553" t="s">
        <v>21</v>
      </c>
      <c r="Z553" t="s">
        <v>20</v>
      </c>
    </row>
    <row r="554" spans="1:26" x14ac:dyDescent="0.25">
      <c r="A554" t="str">
        <f>"10-10-240"</f>
        <v>10-10-240</v>
      </c>
      <c r="C554" t="s">
        <v>2506</v>
      </c>
      <c r="D554" t="s">
        <v>1166</v>
      </c>
      <c r="E554" t="s">
        <v>2017</v>
      </c>
      <c r="F554" t="s">
        <v>106</v>
      </c>
      <c r="G554" t="s">
        <v>12</v>
      </c>
      <c r="H554" t="s">
        <v>13</v>
      </c>
      <c r="I554" t="str">
        <f>"608-348-7755"</f>
        <v>608-348-7755</v>
      </c>
      <c r="J554" s="11">
        <v>90</v>
      </c>
      <c r="K554" s="11">
        <v>90</v>
      </c>
      <c r="L554" s="11">
        <v>90</v>
      </c>
      <c r="M554" s="11" t="s">
        <v>3050</v>
      </c>
      <c r="N554" s="14">
        <v>44167</v>
      </c>
      <c r="P554" t="s">
        <v>1167</v>
      </c>
      <c r="Q554" t="s">
        <v>15</v>
      </c>
      <c r="R554" t="s">
        <v>16</v>
      </c>
      <c r="T554" t="s">
        <v>17</v>
      </c>
      <c r="U554" t="s">
        <v>18</v>
      </c>
      <c r="V554" s="6" t="s">
        <v>2931</v>
      </c>
      <c r="W554" t="s">
        <v>19</v>
      </c>
      <c r="X554" t="str">
        <f>"608-348-7755"</f>
        <v>608-348-7755</v>
      </c>
      <c r="Y554" t="s">
        <v>21</v>
      </c>
      <c r="Z554" t="s">
        <v>20</v>
      </c>
    </row>
    <row r="555" spans="1:26" x14ac:dyDescent="0.25">
      <c r="A555" t="str">
        <f>"13-13-26"</f>
        <v>13-13-26</v>
      </c>
      <c r="C555" t="s">
        <v>2569</v>
      </c>
      <c r="D555" t="s">
        <v>1441</v>
      </c>
      <c r="E555" t="s">
        <v>2017</v>
      </c>
      <c r="F555" t="s">
        <v>106</v>
      </c>
      <c r="G555" t="s">
        <v>12</v>
      </c>
      <c r="H555" t="s">
        <v>13</v>
      </c>
      <c r="I555" t="str">
        <f>"608-348-7755"</f>
        <v>608-348-7755</v>
      </c>
      <c r="J555" s="11">
        <v>1</v>
      </c>
      <c r="K555" s="11">
        <v>59</v>
      </c>
      <c r="L555" s="11">
        <v>55</v>
      </c>
      <c r="M555" s="11" t="s">
        <v>3050</v>
      </c>
      <c r="N555" s="14">
        <v>43299</v>
      </c>
      <c r="P555" t="s">
        <v>1442</v>
      </c>
      <c r="Q555" t="s">
        <v>15</v>
      </c>
      <c r="R555" t="s">
        <v>16</v>
      </c>
      <c r="T555" t="s">
        <v>17</v>
      </c>
      <c r="U555" t="s">
        <v>18</v>
      </c>
      <c r="V555" s="6" t="s">
        <v>2931</v>
      </c>
      <c r="W555" t="s">
        <v>19</v>
      </c>
      <c r="X555" t="str">
        <f>"608-348-7755"</f>
        <v>608-348-7755</v>
      </c>
      <c r="Y555" t="s">
        <v>21</v>
      </c>
      <c r="Z555" t="s">
        <v>20</v>
      </c>
    </row>
    <row r="556" spans="1:26" x14ac:dyDescent="0.25">
      <c r="A556" t="str">
        <f>"92-40"</f>
        <v>92-40</v>
      </c>
      <c r="C556" t="s">
        <v>2677</v>
      </c>
      <c r="D556" t="s">
        <v>1916</v>
      </c>
      <c r="E556" t="s">
        <v>2017</v>
      </c>
      <c r="F556" t="s">
        <v>106</v>
      </c>
      <c r="G556" t="s">
        <v>107</v>
      </c>
      <c r="H556" t="s">
        <v>108</v>
      </c>
      <c r="I556" t="str">
        <f>"515-313-7306"</f>
        <v>515-313-7306</v>
      </c>
      <c r="J556" s="11">
        <v>6</v>
      </c>
      <c r="K556" s="11">
        <v>23</v>
      </c>
      <c r="L556" s="11">
        <v>23</v>
      </c>
      <c r="M556" s="11" t="s">
        <v>3051</v>
      </c>
      <c r="N556" s="14">
        <v>43720</v>
      </c>
      <c r="P556" t="s">
        <v>1792</v>
      </c>
      <c r="Q556" t="s">
        <v>145</v>
      </c>
      <c r="R556" t="s">
        <v>187</v>
      </c>
      <c r="T556" t="s">
        <v>60</v>
      </c>
      <c r="U556" t="s">
        <v>18</v>
      </c>
      <c r="V556" s="6" t="s">
        <v>2899</v>
      </c>
      <c r="W556" t="s">
        <v>148</v>
      </c>
      <c r="X556" t="str">
        <f>"712-580-5360"</f>
        <v>712-580-5360</v>
      </c>
      <c r="Z556" t="s">
        <v>116</v>
      </c>
    </row>
    <row r="557" spans="1:26" x14ac:dyDescent="0.25">
      <c r="A557" t="str">
        <f>"93-54"</f>
        <v>93-54</v>
      </c>
      <c r="C557" t="s">
        <v>2822</v>
      </c>
      <c r="D557" t="s">
        <v>1992</v>
      </c>
      <c r="E557" t="s">
        <v>2017</v>
      </c>
      <c r="F557" t="s">
        <v>106</v>
      </c>
      <c r="G557" t="s">
        <v>107</v>
      </c>
      <c r="H557" t="s">
        <v>108</v>
      </c>
      <c r="I557" t="str">
        <f>"515-313-7306"</f>
        <v>515-313-7306</v>
      </c>
      <c r="J557" s="11">
        <v>6</v>
      </c>
      <c r="K557" s="11">
        <v>23</v>
      </c>
      <c r="L557" s="11">
        <v>23</v>
      </c>
      <c r="M557" s="11" t="s">
        <v>3051</v>
      </c>
      <c r="N557" s="14">
        <v>43720</v>
      </c>
      <c r="P557" t="s">
        <v>1792</v>
      </c>
      <c r="Q557" t="s">
        <v>145</v>
      </c>
      <c r="R557" t="s">
        <v>187</v>
      </c>
      <c r="T557" t="s">
        <v>60</v>
      </c>
      <c r="U557" t="s">
        <v>18</v>
      </c>
      <c r="V557" s="6" t="s">
        <v>2899</v>
      </c>
      <c r="W557" t="s">
        <v>148</v>
      </c>
      <c r="X557" t="str">
        <f>"712-580-5360"</f>
        <v>712-580-5360</v>
      </c>
      <c r="Z557" t="s">
        <v>116</v>
      </c>
    </row>
    <row r="558" spans="1:26" x14ac:dyDescent="0.25">
      <c r="A558" t="str">
        <f>"98-61"</f>
        <v>98-61</v>
      </c>
      <c r="B558" t="s">
        <v>2219</v>
      </c>
      <c r="C558" t="s">
        <v>2757</v>
      </c>
      <c r="D558" t="s">
        <v>2220</v>
      </c>
      <c r="E558" t="s">
        <v>2017</v>
      </c>
      <c r="F558" t="s">
        <v>106</v>
      </c>
      <c r="G558" t="s">
        <v>107</v>
      </c>
      <c r="H558" t="s">
        <v>108</v>
      </c>
      <c r="I558" t="str">
        <f>"515-313-7306"</f>
        <v>515-313-7306</v>
      </c>
      <c r="J558" s="11">
        <v>8</v>
      </c>
      <c r="K558" s="11">
        <v>32</v>
      </c>
      <c r="L558" s="11">
        <v>32</v>
      </c>
      <c r="M558" s="11" t="s">
        <v>3051</v>
      </c>
      <c r="N558" s="14">
        <v>43837</v>
      </c>
      <c r="P558" t="s">
        <v>2221</v>
      </c>
      <c r="Q558" t="s">
        <v>110</v>
      </c>
      <c r="R558" t="s">
        <v>111</v>
      </c>
      <c r="S558" t="s">
        <v>112</v>
      </c>
      <c r="T558" t="s">
        <v>113</v>
      </c>
      <c r="U558" t="s">
        <v>114</v>
      </c>
      <c r="V558" s="6" t="s">
        <v>2892</v>
      </c>
      <c r="W558" t="s">
        <v>115</v>
      </c>
      <c r="X558" t="str">
        <f>"602-200-5660"</f>
        <v>602-200-5660</v>
      </c>
      <c r="Y558" t="s">
        <v>21</v>
      </c>
      <c r="Z558" t="s">
        <v>116</v>
      </c>
    </row>
    <row r="559" spans="1:26" x14ac:dyDescent="0.25">
      <c r="A559" t="str">
        <f>"93-09"</f>
        <v>93-09</v>
      </c>
      <c r="C559" t="s">
        <v>2682</v>
      </c>
      <c r="D559" t="s">
        <v>1937</v>
      </c>
      <c r="E559" t="s">
        <v>3144</v>
      </c>
      <c r="F559" t="s">
        <v>1555</v>
      </c>
      <c r="G559" t="s">
        <v>1938</v>
      </c>
      <c r="H559" t="s">
        <v>1939</v>
      </c>
      <c r="I559" t="str">
        <f>"563-933-4973"</f>
        <v>563-933-4973</v>
      </c>
      <c r="J559" s="11">
        <v>2</v>
      </c>
      <c r="K559" s="11">
        <v>24</v>
      </c>
      <c r="L559" s="11">
        <v>24</v>
      </c>
      <c r="M559" s="11" t="s">
        <v>3051</v>
      </c>
      <c r="N559" s="14">
        <v>43635</v>
      </c>
      <c r="P559" t="s">
        <v>1940</v>
      </c>
      <c r="Q559" t="s">
        <v>1941</v>
      </c>
      <c r="R559" t="s">
        <v>1942</v>
      </c>
      <c r="S559" t="s">
        <v>1943</v>
      </c>
      <c r="T559" t="s">
        <v>540</v>
      </c>
      <c r="U559" t="s">
        <v>31</v>
      </c>
      <c r="V559" s="6" t="s">
        <v>3036</v>
      </c>
      <c r="W559" t="s">
        <v>1944</v>
      </c>
      <c r="X559" t="str">
        <f>"612-309-8912"</f>
        <v>612-309-8912</v>
      </c>
      <c r="Z559" t="s">
        <v>116</v>
      </c>
    </row>
    <row r="560" spans="1:26" x14ac:dyDescent="0.25">
      <c r="A560" t="str">
        <f>"06-41"</f>
        <v>06-41</v>
      </c>
      <c r="B560" t="s">
        <v>753</v>
      </c>
      <c r="C560" t="s">
        <v>2428</v>
      </c>
      <c r="D560" t="s">
        <v>754</v>
      </c>
      <c r="E560" t="s">
        <v>760</v>
      </c>
      <c r="F560" t="s">
        <v>755</v>
      </c>
      <c r="G560" t="s">
        <v>756</v>
      </c>
      <c r="H560" t="s">
        <v>757</v>
      </c>
      <c r="I560" t="str">
        <f>"319-352-2990"</f>
        <v>319-352-2990</v>
      </c>
      <c r="J560" s="11">
        <v>3</v>
      </c>
      <c r="K560" s="11">
        <v>12</v>
      </c>
      <c r="L560" s="11">
        <v>12</v>
      </c>
      <c r="M560" s="11" t="s">
        <v>3049</v>
      </c>
      <c r="N560" s="14">
        <v>43643</v>
      </c>
      <c r="P560" t="s">
        <v>756</v>
      </c>
      <c r="Q560" t="s">
        <v>758</v>
      </c>
      <c r="R560" t="s">
        <v>759</v>
      </c>
      <c r="T560" t="s">
        <v>760</v>
      </c>
      <c r="U560" t="s">
        <v>18</v>
      </c>
      <c r="V560" s="6" t="s">
        <v>2946</v>
      </c>
      <c r="W560" t="s">
        <v>761</v>
      </c>
      <c r="X560" t="str">
        <f>"319-352-0130"</f>
        <v>319-352-0130</v>
      </c>
      <c r="Y560" t="s">
        <v>21</v>
      </c>
      <c r="Z560" t="s">
        <v>116</v>
      </c>
    </row>
    <row r="561" spans="1:26" x14ac:dyDescent="0.25">
      <c r="A561" t="str">
        <f>"17-05"</f>
        <v>17-05</v>
      </c>
      <c r="C561" t="s">
        <v>2623</v>
      </c>
      <c r="D561" t="s">
        <v>1679</v>
      </c>
      <c r="E561" t="s">
        <v>760</v>
      </c>
      <c r="F561" t="s">
        <v>755</v>
      </c>
      <c r="G561" t="s">
        <v>1680</v>
      </c>
      <c r="H561" t="s">
        <v>1371</v>
      </c>
      <c r="I561" t="str">
        <f>"913-671-3300"</f>
        <v>913-671-3300</v>
      </c>
      <c r="J561" s="11">
        <v>1</v>
      </c>
      <c r="K561" s="11">
        <v>34</v>
      </c>
      <c r="L561" s="11">
        <v>30</v>
      </c>
      <c r="M561" s="11" t="s">
        <v>3050</v>
      </c>
      <c r="N561" s="15" t="s">
        <v>3158</v>
      </c>
      <c r="P561" t="s">
        <v>1681</v>
      </c>
      <c r="Q561" t="s">
        <v>1682</v>
      </c>
      <c r="R561" t="s">
        <v>1683</v>
      </c>
      <c r="S561" t="s">
        <v>1119</v>
      </c>
      <c r="T561" t="s">
        <v>1195</v>
      </c>
      <c r="U561" t="s">
        <v>1196</v>
      </c>
      <c r="V561" s="6" t="s">
        <v>3010</v>
      </c>
      <c r="W561" t="s">
        <v>1684</v>
      </c>
      <c r="X561" t="str">
        <f>"913-671-3300"</f>
        <v>913-671-3300</v>
      </c>
      <c r="Z561" t="s">
        <v>103</v>
      </c>
    </row>
    <row r="562" spans="1:26" x14ac:dyDescent="0.25">
      <c r="A562" t="str">
        <f>"90-22"</f>
        <v>90-22</v>
      </c>
      <c r="C562" t="s">
        <v>2644</v>
      </c>
      <c r="D562" t="s">
        <v>1778</v>
      </c>
      <c r="E562" t="s">
        <v>760</v>
      </c>
      <c r="F562" t="s">
        <v>755</v>
      </c>
      <c r="G562" t="s">
        <v>78</v>
      </c>
      <c r="H562" t="s">
        <v>79</v>
      </c>
      <c r="I562" t="str">
        <f>"515-225-4782"</f>
        <v>515-225-4782</v>
      </c>
      <c r="J562" s="11">
        <v>2</v>
      </c>
      <c r="K562" s="11">
        <v>16</v>
      </c>
      <c r="L562" s="11">
        <v>16</v>
      </c>
      <c r="M562" s="11" t="s">
        <v>3051</v>
      </c>
      <c r="N562" s="14">
        <v>43643</v>
      </c>
      <c r="P562" t="s">
        <v>1779</v>
      </c>
      <c r="Q562" t="s">
        <v>81</v>
      </c>
      <c r="R562" t="s">
        <v>82</v>
      </c>
      <c r="S562" t="s">
        <v>83</v>
      </c>
      <c r="T562" t="s">
        <v>84</v>
      </c>
      <c r="U562" t="s">
        <v>18</v>
      </c>
      <c r="V562" s="6" t="s">
        <v>2890</v>
      </c>
      <c r="W562" t="s">
        <v>85</v>
      </c>
      <c r="X562" t="str">
        <f>"319-338-7600"</f>
        <v>319-338-7600</v>
      </c>
      <c r="Z562" t="s">
        <v>62</v>
      </c>
    </row>
    <row r="563" spans="1:26" x14ac:dyDescent="0.25">
      <c r="A563" t="str">
        <f>"90-49"</f>
        <v>90-49</v>
      </c>
      <c r="C563" t="s">
        <v>2883</v>
      </c>
      <c r="D563" t="s">
        <v>1798</v>
      </c>
      <c r="E563" t="s">
        <v>3145</v>
      </c>
      <c r="F563" t="s">
        <v>141</v>
      </c>
      <c r="G563" t="s">
        <v>142</v>
      </c>
      <c r="H563" t="s">
        <v>143</v>
      </c>
      <c r="I563" t="str">
        <f>"712-580-5360"</f>
        <v>712-580-5360</v>
      </c>
      <c r="J563" s="11">
        <v>2</v>
      </c>
      <c r="K563" s="11">
        <v>8</v>
      </c>
      <c r="L563" s="11">
        <v>8</v>
      </c>
      <c r="M563" s="11" t="s">
        <v>3051</v>
      </c>
      <c r="N563" s="14">
        <v>43633</v>
      </c>
      <c r="P563" t="s">
        <v>1794</v>
      </c>
      <c r="Q563" t="s">
        <v>1795</v>
      </c>
      <c r="R563" t="s">
        <v>1796</v>
      </c>
      <c r="T563" t="s">
        <v>147</v>
      </c>
      <c r="U563" t="s">
        <v>18</v>
      </c>
      <c r="V563" s="6" t="s">
        <v>2895</v>
      </c>
      <c r="W563" t="s">
        <v>1797</v>
      </c>
      <c r="X563" t="str">
        <f>"712-363-5430"</f>
        <v>712-363-5430</v>
      </c>
      <c r="Z563" t="s">
        <v>116</v>
      </c>
    </row>
    <row r="564" spans="1:26" x14ac:dyDescent="0.25">
      <c r="A564" t="str">
        <f>"04-40"</f>
        <v>04-40</v>
      </c>
      <c r="B564" t="s">
        <v>509</v>
      </c>
      <c r="C564" t="s">
        <v>2383</v>
      </c>
      <c r="D564" t="s">
        <v>510</v>
      </c>
      <c r="E564" t="s">
        <v>3146</v>
      </c>
      <c r="F564" t="s">
        <v>511</v>
      </c>
      <c r="G564" t="s">
        <v>55</v>
      </c>
      <c r="H564" t="s">
        <v>56</v>
      </c>
      <c r="I564" t="str">
        <f>"712-262-5965"</f>
        <v>712-262-5965</v>
      </c>
      <c r="J564" s="11">
        <v>3</v>
      </c>
      <c r="K564" s="11">
        <v>12</v>
      </c>
      <c r="L564" s="11">
        <v>12</v>
      </c>
      <c r="M564" s="11" t="s">
        <v>3049</v>
      </c>
      <c r="N564" s="14">
        <v>43766</v>
      </c>
      <c r="P564" t="s">
        <v>512</v>
      </c>
      <c r="Q564" t="s">
        <v>58</v>
      </c>
      <c r="R564" t="s">
        <v>59</v>
      </c>
      <c r="T564" t="s">
        <v>60</v>
      </c>
      <c r="U564" t="s">
        <v>18</v>
      </c>
      <c r="V564" s="6" t="s">
        <v>2888</v>
      </c>
      <c r="W564" t="s">
        <v>61</v>
      </c>
      <c r="X564" t="str">
        <f>"515-262-5965"</f>
        <v>515-262-5965</v>
      </c>
      <c r="Y564" t="s">
        <v>21</v>
      </c>
      <c r="Z564" t="s">
        <v>62</v>
      </c>
    </row>
    <row r="565" spans="1:26" x14ac:dyDescent="0.25">
      <c r="A565" t="str">
        <f>"06-28"</f>
        <v>06-28</v>
      </c>
      <c r="C565" t="s">
        <v>2426</v>
      </c>
      <c r="D565" t="s">
        <v>737</v>
      </c>
      <c r="E565" t="s">
        <v>3146</v>
      </c>
      <c r="F565" t="s">
        <v>511</v>
      </c>
      <c r="G565" t="s">
        <v>710</v>
      </c>
      <c r="H565" t="s">
        <v>711</v>
      </c>
      <c r="I565" t="str">
        <f>"605-232-1813"</f>
        <v>605-232-1813</v>
      </c>
      <c r="J565" s="11">
        <v>7</v>
      </c>
      <c r="K565" s="11">
        <v>42</v>
      </c>
      <c r="L565" s="11">
        <v>42</v>
      </c>
      <c r="M565" s="11" t="s">
        <v>3050</v>
      </c>
      <c r="N565" s="14">
        <v>43363</v>
      </c>
      <c r="P565" t="s">
        <v>738</v>
      </c>
      <c r="Q565" t="s">
        <v>739</v>
      </c>
      <c r="R565" t="s">
        <v>740</v>
      </c>
      <c r="S565" t="s">
        <v>741</v>
      </c>
      <c r="T565" t="s">
        <v>60</v>
      </c>
      <c r="U565" t="s">
        <v>18</v>
      </c>
      <c r="V565" s="6" t="s">
        <v>2944</v>
      </c>
      <c r="W565" t="s">
        <v>742</v>
      </c>
      <c r="X565" t="str">
        <f>"515-707-6042"</f>
        <v>515-707-6042</v>
      </c>
      <c r="Y565" t="s">
        <v>151</v>
      </c>
      <c r="Z565" t="s">
        <v>20</v>
      </c>
    </row>
    <row r="566" spans="1:26" x14ac:dyDescent="0.25">
      <c r="A566" t="str">
        <f>"95-51"</f>
        <v>95-51</v>
      </c>
      <c r="B566" t="s">
        <v>2064</v>
      </c>
      <c r="C566" t="s">
        <v>2712</v>
      </c>
      <c r="D566" t="s">
        <v>2065</v>
      </c>
      <c r="E566" t="s">
        <v>3146</v>
      </c>
      <c r="F566" t="s">
        <v>511</v>
      </c>
      <c r="G566" t="s">
        <v>142</v>
      </c>
      <c r="H566" t="s">
        <v>143</v>
      </c>
      <c r="I566" t="str">
        <f>"712-580-5360"</f>
        <v>712-580-5360</v>
      </c>
      <c r="J566" s="11">
        <v>1</v>
      </c>
      <c r="K566" s="11">
        <v>24</v>
      </c>
      <c r="L566" s="11">
        <v>24</v>
      </c>
      <c r="M566" s="11" t="s">
        <v>3051</v>
      </c>
      <c r="N566" s="14">
        <v>42710</v>
      </c>
      <c r="P566" t="s">
        <v>2066</v>
      </c>
      <c r="Q566" t="s">
        <v>1188</v>
      </c>
      <c r="R566" t="s">
        <v>1189</v>
      </c>
      <c r="T566" t="s">
        <v>17</v>
      </c>
      <c r="U566" t="s">
        <v>18</v>
      </c>
      <c r="V566" s="6" t="s">
        <v>2975</v>
      </c>
      <c r="W566" t="s">
        <v>1190</v>
      </c>
      <c r="X566" t="str">
        <f>"515-223-1113"</f>
        <v>515-223-1113</v>
      </c>
      <c r="Y566" t="s">
        <v>21</v>
      </c>
      <c r="Z566" t="s">
        <v>116</v>
      </c>
    </row>
    <row r="567" spans="1:26" x14ac:dyDescent="0.25">
      <c r="A567" t="str">
        <f>"08-0902"</f>
        <v>08-0902</v>
      </c>
      <c r="C567" t="s">
        <v>2460</v>
      </c>
      <c r="D567" t="s">
        <v>950</v>
      </c>
      <c r="E567" t="s">
        <v>17</v>
      </c>
      <c r="F567" t="s">
        <v>106</v>
      </c>
      <c r="G567" t="s">
        <v>859</v>
      </c>
      <c r="H567" t="s">
        <v>860</v>
      </c>
      <c r="I567" t="str">
        <f>"317-587-0356"</f>
        <v>317-587-0356</v>
      </c>
      <c r="J567" s="11">
        <v>13</v>
      </c>
      <c r="K567" s="11">
        <v>208</v>
      </c>
      <c r="L567" s="11">
        <v>208</v>
      </c>
      <c r="M567" s="11" t="s">
        <v>3050</v>
      </c>
      <c r="N567" s="14">
        <v>43899</v>
      </c>
      <c r="P567" t="s">
        <v>951</v>
      </c>
      <c r="Q567" t="s">
        <v>862</v>
      </c>
      <c r="R567" t="s">
        <v>863</v>
      </c>
      <c r="T567" t="s">
        <v>864</v>
      </c>
      <c r="U567" t="s">
        <v>359</v>
      </c>
      <c r="V567" s="6" t="s">
        <v>2955</v>
      </c>
      <c r="W567" t="s">
        <v>865</v>
      </c>
      <c r="X567" t="str">
        <f>"317-587-0320"</f>
        <v>317-587-0320</v>
      </c>
      <c r="Y567" t="s">
        <v>21</v>
      </c>
      <c r="Z567" t="s">
        <v>20</v>
      </c>
    </row>
    <row r="568" spans="1:26" x14ac:dyDescent="0.25">
      <c r="A568" t="str">
        <f>"18-32"</f>
        <v>18-32</v>
      </c>
      <c r="C568" t="s">
        <v>2639</v>
      </c>
      <c r="D568" t="s">
        <v>1743</v>
      </c>
      <c r="E568" t="s">
        <v>17</v>
      </c>
      <c r="F568" t="s">
        <v>106</v>
      </c>
      <c r="G568" t="s">
        <v>1744</v>
      </c>
      <c r="H568" t="s">
        <v>1745</v>
      </c>
      <c r="I568" t="str">
        <f>"812-876-5478"</f>
        <v>812-876-5478</v>
      </c>
      <c r="J568" s="11">
        <v>8</v>
      </c>
      <c r="K568" s="11">
        <v>180</v>
      </c>
      <c r="L568" s="11">
        <v>180</v>
      </c>
      <c r="M568" s="11" t="s">
        <v>3050</v>
      </c>
      <c r="N568" s="15" t="s">
        <v>3158</v>
      </c>
      <c r="P568" t="s">
        <v>1746</v>
      </c>
      <c r="Q568" t="s">
        <v>1747</v>
      </c>
      <c r="R568" t="s">
        <v>1748</v>
      </c>
      <c r="S568" t="s">
        <v>1119</v>
      </c>
      <c r="T568" t="s">
        <v>1749</v>
      </c>
      <c r="U568" t="s">
        <v>359</v>
      </c>
      <c r="V568" s="6" t="s">
        <v>3020</v>
      </c>
      <c r="W568" t="s">
        <v>1750</v>
      </c>
      <c r="X568" t="str">
        <f>"317-886-7923"</f>
        <v>317-886-7923</v>
      </c>
      <c r="Y568" t="s">
        <v>21</v>
      </c>
      <c r="Z568" t="s">
        <v>20</v>
      </c>
    </row>
    <row r="569" spans="1:26" x14ac:dyDescent="0.25">
      <c r="A569" t="str">
        <f>"06-51"</f>
        <v>06-51</v>
      </c>
      <c r="C569" t="s">
        <v>2433</v>
      </c>
      <c r="D569" t="s">
        <v>779</v>
      </c>
      <c r="E569" t="s">
        <v>17</v>
      </c>
      <c r="F569" t="s">
        <v>202</v>
      </c>
      <c r="G569" t="s">
        <v>780</v>
      </c>
      <c r="H569" t="s">
        <v>781</v>
      </c>
      <c r="I569" t="str">
        <f>"515-974-5237"</f>
        <v>515-974-5237</v>
      </c>
      <c r="J569" s="11">
        <v>11</v>
      </c>
      <c r="K569" s="11">
        <v>294</v>
      </c>
      <c r="L569" s="11">
        <v>122</v>
      </c>
      <c r="M569" s="11" t="s">
        <v>3050</v>
      </c>
      <c r="N569" s="14">
        <v>43193</v>
      </c>
      <c r="P569" t="s">
        <v>782</v>
      </c>
      <c r="Q569" t="s">
        <v>783</v>
      </c>
      <c r="R569" t="s">
        <v>784</v>
      </c>
      <c r="S569" t="s">
        <v>785</v>
      </c>
      <c r="T569" t="s">
        <v>17</v>
      </c>
      <c r="U569" t="s">
        <v>18</v>
      </c>
      <c r="V569" s="6" t="s">
        <v>2884</v>
      </c>
      <c r="W569" t="s">
        <v>786</v>
      </c>
      <c r="X569" t="str">
        <f>"515-223-4500"</f>
        <v>515-223-4500</v>
      </c>
      <c r="Y569" t="s">
        <v>151</v>
      </c>
      <c r="Z569" t="s">
        <v>44</v>
      </c>
    </row>
    <row r="570" spans="1:26" x14ac:dyDescent="0.25">
      <c r="A570" t="str">
        <f>"08-01"</f>
        <v>08-01</v>
      </c>
      <c r="C570" t="s">
        <v>2455</v>
      </c>
      <c r="D570" t="s">
        <v>930</v>
      </c>
      <c r="E570" t="s">
        <v>17</v>
      </c>
      <c r="F570" t="s">
        <v>202</v>
      </c>
      <c r="G570" t="s">
        <v>118</v>
      </c>
      <c r="H570" t="s">
        <v>119</v>
      </c>
      <c r="I570" t="str">
        <f>"515-246-8016"</f>
        <v>515-246-8016</v>
      </c>
      <c r="J570" s="11">
        <v>3</v>
      </c>
      <c r="K570" s="11">
        <v>73</v>
      </c>
      <c r="L570" s="11">
        <v>72</v>
      </c>
      <c r="M570" s="11" t="s">
        <v>3050</v>
      </c>
      <c r="N570" s="14">
        <v>44147</v>
      </c>
      <c r="P570" t="s">
        <v>931</v>
      </c>
      <c r="Q570" t="s">
        <v>119</v>
      </c>
      <c r="R570" t="s">
        <v>121</v>
      </c>
      <c r="S570" t="s">
        <v>100</v>
      </c>
      <c r="T570" t="s">
        <v>60</v>
      </c>
      <c r="U570" t="s">
        <v>18</v>
      </c>
      <c r="V570" s="6" t="s">
        <v>2893</v>
      </c>
      <c r="W570" t="s">
        <v>122</v>
      </c>
      <c r="X570" t="str">
        <f>"515-246-8016"</f>
        <v>515-246-8016</v>
      </c>
      <c r="Y570" t="s">
        <v>21</v>
      </c>
      <c r="Z570" t="s">
        <v>103</v>
      </c>
    </row>
    <row r="571" spans="1:26" x14ac:dyDescent="0.25">
      <c r="A571" t="str">
        <f>"08-0909"</f>
        <v>08-0909</v>
      </c>
      <c r="C571" t="s">
        <v>2805</v>
      </c>
      <c r="D571" t="s">
        <v>930</v>
      </c>
      <c r="E571" t="s">
        <v>17</v>
      </c>
      <c r="F571" t="s">
        <v>202</v>
      </c>
      <c r="G571" t="s">
        <v>118</v>
      </c>
      <c r="H571" t="s">
        <v>119</v>
      </c>
      <c r="I571" t="str">
        <f>"515-246-8016"</f>
        <v>515-246-8016</v>
      </c>
      <c r="J571" s="11">
        <v>4</v>
      </c>
      <c r="K571" s="11">
        <v>96</v>
      </c>
      <c r="L571" s="11">
        <v>95</v>
      </c>
      <c r="M571" s="11" t="s">
        <v>3050</v>
      </c>
      <c r="N571" s="14">
        <v>43908</v>
      </c>
      <c r="P571" t="s">
        <v>963</v>
      </c>
      <c r="Q571" t="s">
        <v>119</v>
      </c>
      <c r="R571" t="s">
        <v>121</v>
      </c>
      <c r="S571" t="s">
        <v>100</v>
      </c>
      <c r="T571" t="s">
        <v>60</v>
      </c>
      <c r="U571" t="s">
        <v>18</v>
      </c>
      <c r="V571" s="6" t="s">
        <v>2893</v>
      </c>
      <c r="W571" t="s">
        <v>122</v>
      </c>
      <c r="X571" t="str">
        <f>"515-246-8016"</f>
        <v>515-246-8016</v>
      </c>
      <c r="Y571" t="s">
        <v>21</v>
      </c>
      <c r="Z571" t="s">
        <v>103</v>
      </c>
    </row>
    <row r="572" spans="1:26" x14ac:dyDescent="0.25">
      <c r="A572" t="str">
        <f>"09-0904"</f>
        <v>09-0904</v>
      </c>
      <c r="C572" t="s">
        <v>2477</v>
      </c>
      <c r="D572" t="s">
        <v>1016</v>
      </c>
      <c r="E572" t="s">
        <v>17</v>
      </c>
      <c r="F572" t="s">
        <v>202</v>
      </c>
      <c r="G572" t="s">
        <v>55</v>
      </c>
      <c r="H572" t="s">
        <v>56</v>
      </c>
      <c r="I572" t="str">
        <f>"712-262-5965"</f>
        <v>712-262-5965</v>
      </c>
      <c r="J572" s="11">
        <v>1</v>
      </c>
      <c r="K572" s="11">
        <v>55</v>
      </c>
      <c r="L572" s="11">
        <v>55</v>
      </c>
      <c r="M572" s="11" t="s">
        <v>3050</v>
      </c>
      <c r="N572" s="14">
        <v>43120</v>
      </c>
      <c r="P572" t="s">
        <v>1017</v>
      </c>
      <c r="Q572" t="s">
        <v>58</v>
      </c>
      <c r="R572" t="s">
        <v>59</v>
      </c>
      <c r="T572" t="s">
        <v>60</v>
      </c>
      <c r="U572" t="s">
        <v>18</v>
      </c>
      <c r="V572" s="6" t="s">
        <v>2888</v>
      </c>
      <c r="W572" t="s">
        <v>61</v>
      </c>
      <c r="X572" t="str">
        <f>"515-262-5965"</f>
        <v>515-262-5965</v>
      </c>
      <c r="Y572" t="s">
        <v>33</v>
      </c>
      <c r="Z572" t="s">
        <v>62</v>
      </c>
    </row>
    <row r="573" spans="1:26" x14ac:dyDescent="0.25">
      <c r="A573" t="str">
        <f>"10-10-243"</f>
        <v>10-10-243</v>
      </c>
      <c r="B573" t="s">
        <v>1168</v>
      </c>
      <c r="C573" t="s">
        <v>2507</v>
      </c>
      <c r="D573" t="s">
        <v>1169</v>
      </c>
      <c r="E573" t="s">
        <v>17</v>
      </c>
      <c r="F573" t="s">
        <v>202</v>
      </c>
      <c r="G573" t="s">
        <v>851</v>
      </c>
      <c r="H573" t="s">
        <v>852</v>
      </c>
      <c r="I573" t="str">
        <f>"515-490-9001"</f>
        <v>515-490-9001</v>
      </c>
      <c r="J573" s="11">
        <v>2</v>
      </c>
      <c r="K573" s="11">
        <v>48</v>
      </c>
      <c r="L573" s="11">
        <v>38</v>
      </c>
      <c r="M573" s="11" t="s">
        <v>3149</v>
      </c>
      <c r="N573" s="14">
        <v>44147</v>
      </c>
      <c r="P573" t="s">
        <v>1170</v>
      </c>
      <c r="Q573" t="s">
        <v>852</v>
      </c>
      <c r="R573" t="s">
        <v>998</v>
      </c>
      <c r="S573" t="s">
        <v>999</v>
      </c>
      <c r="T573" t="s">
        <v>17</v>
      </c>
      <c r="U573" t="s">
        <v>18</v>
      </c>
      <c r="V573" s="6" t="s">
        <v>2962</v>
      </c>
      <c r="W573" t="s">
        <v>1000</v>
      </c>
      <c r="X573" t="str">
        <f>"515-490-9001"</f>
        <v>515-490-9001</v>
      </c>
      <c r="Y573" t="s">
        <v>33</v>
      </c>
      <c r="Z573" t="s">
        <v>44</v>
      </c>
    </row>
    <row r="574" spans="1:26" x14ac:dyDescent="0.25">
      <c r="A574" t="str">
        <f>"93-34"</f>
        <v>93-34</v>
      </c>
      <c r="C574" t="s">
        <v>2692</v>
      </c>
      <c r="D574" t="s">
        <v>1972</v>
      </c>
      <c r="E574" t="s">
        <v>3147</v>
      </c>
      <c r="F574" t="s">
        <v>1973</v>
      </c>
      <c r="G574" t="s">
        <v>78</v>
      </c>
      <c r="H574" t="s">
        <v>79</v>
      </c>
      <c r="I574" t="str">
        <f>"515-225-4782"</f>
        <v>515-225-4782</v>
      </c>
      <c r="J574" s="11">
        <v>3</v>
      </c>
      <c r="K574" s="11">
        <v>24</v>
      </c>
      <c r="L574" s="11">
        <v>24</v>
      </c>
      <c r="M574" s="11" t="s">
        <v>3051</v>
      </c>
      <c r="N574" s="14">
        <v>43595</v>
      </c>
      <c r="P574" t="s">
        <v>1974</v>
      </c>
      <c r="Q574" t="s">
        <v>81</v>
      </c>
      <c r="R574" t="s">
        <v>82</v>
      </c>
      <c r="S574" t="s">
        <v>83</v>
      </c>
      <c r="T574" t="s">
        <v>84</v>
      </c>
      <c r="U574" t="s">
        <v>18</v>
      </c>
      <c r="V574" s="6" t="s">
        <v>2890</v>
      </c>
      <c r="W574" t="s">
        <v>85</v>
      </c>
      <c r="X574" t="str">
        <f>"319-338-7600"</f>
        <v>319-338-7600</v>
      </c>
      <c r="Z574" t="s">
        <v>62</v>
      </c>
    </row>
    <row r="575" spans="1:26" x14ac:dyDescent="0.25">
      <c r="A575" t="str">
        <f>"92-13"</f>
        <v>92-13</v>
      </c>
      <c r="C575" t="s">
        <v>2669</v>
      </c>
      <c r="D575" t="s">
        <v>1897</v>
      </c>
      <c r="E575" t="s">
        <v>1762</v>
      </c>
      <c r="F575" t="s">
        <v>1898</v>
      </c>
      <c r="G575" t="s">
        <v>1763</v>
      </c>
      <c r="H575" t="s">
        <v>1764</v>
      </c>
      <c r="I575" t="str">
        <f>"515-295-2927"</f>
        <v>515-295-2927</v>
      </c>
      <c r="J575" s="11">
        <v>4</v>
      </c>
      <c r="K575" s="11">
        <v>24</v>
      </c>
      <c r="L575" s="11">
        <v>24</v>
      </c>
      <c r="M575" s="11" t="s">
        <v>3051</v>
      </c>
      <c r="N575" s="14">
        <v>43753</v>
      </c>
      <c r="P575" t="s">
        <v>1899</v>
      </c>
      <c r="Q575" t="s">
        <v>1765</v>
      </c>
      <c r="R575" t="s">
        <v>1766</v>
      </c>
      <c r="S575" t="s">
        <v>1767</v>
      </c>
      <c r="T575" t="s">
        <v>1768</v>
      </c>
      <c r="U575" t="s">
        <v>18</v>
      </c>
      <c r="V575" s="6" t="s">
        <v>3022</v>
      </c>
      <c r="W575" t="s">
        <v>1900</v>
      </c>
      <c r="X575" t="str">
        <f>"563-864-7414"</f>
        <v>563-864-7414</v>
      </c>
      <c r="Z575" t="s">
        <v>103</v>
      </c>
    </row>
    <row r="576" spans="1:26" x14ac:dyDescent="0.25">
      <c r="A576" t="str">
        <f>"08-24"</f>
        <v>08-24</v>
      </c>
      <c r="C576" t="s">
        <v>2806</v>
      </c>
      <c r="D576" t="s">
        <v>992</v>
      </c>
      <c r="E576" t="s">
        <v>1624</v>
      </c>
      <c r="F576" t="s">
        <v>993</v>
      </c>
      <c r="G576" t="s">
        <v>107</v>
      </c>
      <c r="H576" t="s">
        <v>108</v>
      </c>
      <c r="I576" t="str">
        <f>"515-313-7306"</f>
        <v>515-313-7306</v>
      </c>
      <c r="J576" s="11">
        <v>8</v>
      </c>
      <c r="K576" s="11">
        <v>72</v>
      </c>
      <c r="L576" s="11">
        <v>72</v>
      </c>
      <c r="M576" s="11" t="s">
        <v>3050</v>
      </c>
      <c r="N576" s="14">
        <v>43603</v>
      </c>
      <c r="P576" t="s">
        <v>994</v>
      </c>
      <c r="Q576" t="s">
        <v>145</v>
      </c>
      <c r="R576" t="s">
        <v>187</v>
      </c>
      <c r="T576" t="s">
        <v>60</v>
      </c>
      <c r="U576" t="s">
        <v>18</v>
      </c>
      <c r="V576" s="6" t="s">
        <v>2899</v>
      </c>
      <c r="W576" t="s">
        <v>148</v>
      </c>
      <c r="X576" t="str">
        <f>"712-580-5360"</f>
        <v>712-580-5360</v>
      </c>
      <c r="Y576" t="s">
        <v>151</v>
      </c>
      <c r="Z576" t="s">
        <v>116</v>
      </c>
    </row>
    <row r="577" spans="1:26" x14ac:dyDescent="0.25">
      <c r="A577" t="s">
        <v>1619</v>
      </c>
      <c r="B577" t="s">
        <v>1619</v>
      </c>
      <c r="C577" t="s">
        <v>2609</v>
      </c>
      <c r="D577" t="s">
        <v>1620</v>
      </c>
      <c r="E577" t="s">
        <v>1624</v>
      </c>
      <c r="F577" t="s">
        <v>993</v>
      </c>
      <c r="G577" t="s">
        <v>1621</v>
      </c>
      <c r="H577" t="s">
        <v>1622</v>
      </c>
      <c r="I577" t="str">
        <f>"515-988-9613"</f>
        <v>515-988-9613</v>
      </c>
      <c r="J577" s="11">
        <v>0</v>
      </c>
      <c r="K577" s="11">
        <v>9</v>
      </c>
      <c r="L577" s="11">
        <v>6</v>
      </c>
      <c r="M577" s="11" t="s">
        <v>3049</v>
      </c>
      <c r="N577" s="14">
        <v>44165</v>
      </c>
      <c r="P577" t="s">
        <v>1621</v>
      </c>
      <c r="Q577" t="s">
        <v>1622</v>
      </c>
      <c r="R577" t="s">
        <v>1623</v>
      </c>
      <c r="T577" t="s">
        <v>1624</v>
      </c>
      <c r="U577" t="s">
        <v>18</v>
      </c>
      <c r="V577" s="6" t="s">
        <v>3003</v>
      </c>
      <c r="W577" t="s">
        <v>1625</v>
      </c>
      <c r="X577" t="str">
        <f>"515-988-9613"</f>
        <v>515-988-9613</v>
      </c>
      <c r="Y577" t="s">
        <v>1556</v>
      </c>
      <c r="Z577" t="s">
        <v>20</v>
      </c>
    </row>
    <row r="578" spans="1:26" x14ac:dyDescent="0.25">
      <c r="A578" t="str">
        <f>"17-29"</f>
        <v>17-29</v>
      </c>
      <c r="C578" t="s">
        <v>2634</v>
      </c>
      <c r="D578" t="s">
        <v>1719</v>
      </c>
      <c r="E578" t="s">
        <v>1624</v>
      </c>
      <c r="F578" t="s">
        <v>993</v>
      </c>
      <c r="G578" t="s">
        <v>142</v>
      </c>
      <c r="H578" t="s">
        <v>143</v>
      </c>
      <c r="I578" t="str">
        <f>"712-580-5360"</f>
        <v>712-580-5360</v>
      </c>
      <c r="J578" s="11">
        <v>20</v>
      </c>
      <c r="K578" s="11">
        <v>80</v>
      </c>
      <c r="L578" s="11">
        <v>80</v>
      </c>
      <c r="M578" s="11" t="s">
        <v>3050</v>
      </c>
      <c r="N578" s="14">
        <v>43887</v>
      </c>
      <c r="P578" t="s">
        <v>1720</v>
      </c>
      <c r="Q578" t="s">
        <v>145</v>
      </c>
      <c r="R578" t="s">
        <v>146</v>
      </c>
      <c r="T578" t="s">
        <v>147</v>
      </c>
      <c r="U578" t="s">
        <v>18</v>
      </c>
      <c r="V578" s="6" t="s">
        <v>2895</v>
      </c>
      <c r="W578" t="s">
        <v>148</v>
      </c>
      <c r="X578" t="str">
        <f>"712-240-2188"</f>
        <v>712-240-2188</v>
      </c>
      <c r="Y578" t="s">
        <v>151</v>
      </c>
      <c r="Z578" t="s">
        <v>116</v>
      </c>
    </row>
    <row r="579" spans="1:26" x14ac:dyDescent="0.25">
      <c r="A579" t="str">
        <f>"98-62"</f>
        <v>98-62</v>
      </c>
      <c r="B579" t="s">
        <v>2222</v>
      </c>
      <c r="C579" t="s">
        <v>2758</v>
      </c>
      <c r="D579" t="s">
        <v>2223</v>
      </c>
      <c r="E579" t="s">
        <v>1624</v>
      </c>
      <c r="F579" t="s">
        <v>993</v>
      </c>
      <c r="G579" t="s">
        <v>107</v>
      </c>
      <c r="H579" t="s">
        <v>108</v>
      </c>
      <c r="I579" t="str">
        <f>"515-313-7306"</f>
        <v>515-313-7306</v>
      </c>
      <c r="J579" s="11">
        <v>1</v>
      </c>
      <c r="K579" s="11">
        <v>24</v>
      </c>
      <c r="L579" s="11">
        <v>24</v>
      </c>
      <c r="M579" s="11" t="s">
        <v>3049</v>
      </c>
      <c r="N579" s="14">
        <v>44109</v>
      </c>
      <c r="P579" t="s">
        <v>2874</v>
      </c>
      <c r="Q579" t="s">
        <v>110</v>
      </c>
      <c r="R579" t="s">
        <v>111</v>
      </c>
      <c r="S579" t="s">
        <v>112</v>
      </c>
      <c r="T579" t="s">
        <v>113</v>
      </c>
      <c r="U579" t="s">
        <v>114</v>
      </c>
      <c r="V579" s="6" t="s">
        <v>2892</v>
      </c>
      <c r="W579" t="s">
        <v>115</v>
      </c>
      <c r="X579" t="str">
        <f>"602-200-5660"</f>
        <v>602-200-5660</v>
      </c>
      <c r="Y579" t="s">
        <v>21</v>
      </c>
      <c r="Z579" t="s">
        <v>116</v>
      </c>
    </row>
    <row r="580" spans="1:26" x14ac:dyDescent="0.25">
      <c r="A580" t="str">
        <f>"10-10-234"</f>
        <v>10-10-234</v>
      </c>
      <c r="B580" t="s">
        <v>1144</v>
      </c>
      <c r="C580" t="s">
        <v>2502</v>
      </c>
      <c r="D580" t="s">
        <v>1145</v>
      </c>
      <c r="E580" t="s">
        <v>1149</v>
      </c>
      <c r="F580" t="s">
        <v>721</v>
      </c>
      <c r="G580" t="s">
        <v>1146</v>
      </c>
      <c r="H580" t="s">
        <v>1147</v>
      </c>
      <c r="I580" t="str">
        <f>"712-592-1844"</f>
        <v>712-592-1844</v>
      </c>
      <c r="J580" s="11">
        <v>1</v>
      </c>
      <c r="K580" s="11">
        <v>11</v>
      </c>
      <c r="L580" s="11">
        <v>11</v>
      </c>
      <c r="M580" s="11" t="s">
        <v>3049</v>
      </c>
      <c r="N580" s="14">
        <v>43536</v>
      </c>
      <c r="P580" t="s">
        <v>1148</v>
      </c>
      <c r="Q580" t="s">
        <v>1147</v>
      </c>
      <c r="R580" t="s">
        <v>1145</v>
      </c>
      <c r="T580" t="s">
        <v>1149</v>
      </c>
      <c r="U580" t="s">
        <v>18</v>
      </c>
      <c r="V580" s="6" t="s">
        <v>2972</v>
      </c>
      <c r="W580" t="s">
        <v>1150</v>
      </c>
      <c r="X580" t="str">
        <f>"712-592-1844"</f>
        <v>712-592-1844</v>
      </c>
      <c r="Y580" t="s">
        <v>1151</v>
      </c>
      <c r="Z580" t="s">
        <v>103</v>
      </c>
    </row>
  </sheetData>
  <autoFilter ref="A2:Z580">
    <sortState xmlns:xlrd2="http://schemas.microsoft.com/office/spreadsheetml/2017/richdata2" ref="A3:Z580">
      <sortCondition ref="E2:E580"/>
    </sortState>
  </autoFilter>
  <sortState xmlns:xlrd2="http://schemas.microsoft.com/office/spreadsheetml/2017/richdata2" ref="A3:AE579">
    <sortCondition ref="E3:E579"/>
    <sortCondition ref="F3:F5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Noland</dc:creator>
  <cp:lastModifiedBy>Julie Noland</cp:lastModifiedBy>
  <dcterms:created xsi:type="dcterms:W3CDTF">2021-01-27T23:04:19Z</dcterms:created>
  <dcterms:modified xsi:type="dcterms:W3CDTF">2021-01-27T23:04:19Z</dcterms:modified>
</cp:coreProperties>
</file>